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workbookProtection lockStructure="1"/>
  <bookViews>
    <workbookView xWindow="240" yWindow="105" windowWidth="14805" windowHeight="8010" tabRatio="710"/>
  </bookViews>
  <sheets>
    <sheet name="Introduction" sheetId="9" r:id="rId1"/>
    <sheet name="Capital Costs" sheetId="1" r:id="rId2"/>
    <sheet name="Budget" sheetId="3" r:id="rId3"/>
  </sheets>
  <calcPr calcId="152511"/>
</workbook>
</file>

<file path=xl/calcChain.xml><?xml version="1.0" encoding="utf-8"?>
<calcChain xmlns="http://schemas.openxmlformats.org/spreadsheetml/2006/main">
  <c r="B21" i="1" l="1"/>
  <c r="A1" i="3" l="1"/>
  <c r="B30" i="3"/>
  <c r="C12" i="1"/>
  <c r="A46" i="3" l="1"/>
  <c r="A41" i="3"/>
  <c r="B46" i="3"/>
  <c r="B41" i="3"/>
  <c r="A6" i="3"/>
  <c r="B7" i="3" l="1"/>
  <c r="C7" i="3" s="1"/>
  <c r="A48" i="3"/>
  <c r="C4" i="3"/>
  <c r="A43" i="3" s="1"/>
  <c r="C11" i="3"/>
  <c r="C12" i="3"/>
  <c r="C13" i="3"/>
  <c r="C14" i="3"/>
  <c r="C15" i="3"/>
  <c r="C16" i="3"/>
  <c r="C17" i="3"/>
  <c r="C18" i="3"/>
  <c r="C19" i="3"/>
  <c r="C20" i="3"/>
  <c r="C21" i="3"/>
  <c r="C22" i="3"/>
  <c r="C23" i="3"/>
  <c r="C24" i="3"/>
  <c r="C25" i="3"/>
  <c r="C26" i="3"/>
  <c r="C27" i="3"/>
  <c r="C28" i="3"/>
  <c r="C29" i="3"/>
  <c r="C10" i="3"/>
  <c r="C30" i="3"/>
  <c r="F10" i="1"/>
  <c r="G10" i="1" s="1"/>
  <c r="F11" i="1"/>
  <c r="G11" i="1" s="1"/>
  <c r="F12" i="1"/>
  <c r="G12" i="1" s="1"/>
  <c r="F13" i="1"/>
  <c r="G13" i="1" s="1"/>
  <c r="F14" i="1"/>
  <c r="G14" i="1" s="1"/>
  <c r="F15" i="1"/>
  <c r="G15" i="1" s="1"/>
  <c r="F16" i="1"/>
  <c r="G16" i="1" s="1"/>
  <c r="F17" i="1"/>
  <c r="G17" i="1" s="1"/>
  <c r="F18" i="1"/>
  <c r="G18" i="1" s="1"/>
  <c r="F19" i="1"/>
  <c r="G19" i="1" s="1"/>
  <c r="F20" i="1"/>
  <c r="G20" i="1" s="1"/>
  <c r="F21" i="1"/>
  <c r="G21" i="1" s="1"/>
  <c r="F22" i="1"/>
  <c r="G22" i="1" s="1"/>
  <c r="F23" i="1"/>
  <c r="G23" i="1" s="1"/>
  <c r="F24" i="1"/>
  <c r="G24" i="1" s="1"/>
  <c r="F25" i="1"/>
  <c r="G25" i="1" s="1"/>
  <c r="F26" i="1"/>
  <c r="G26" i="1" s="1"/>
  <c r="F27" i="1"/>
  <c r="G27" i="1" s="1"/>
  <c r="F28" i="1"/>
  <c r="G28" i="1" s="1"/>
  <c r="F29" i="1"/>
  <c r="G29" i="1" s="1"/>
  <c r="F30" i="1"/>
  <c r="G30" i="1" s="1"/>
  <c r="C10" i="1"/>
  <c r="C11" i="1"/>
  <c r="C13" i="1"/>
  <c r="C14" i="1"/>
  <c r="C15" i="1"/>
  <c r="C16" i="1"/>
  <c r="C17" i="1"/>
  <c r="C18" i="1"/>
  <c r="C19" i="1"/>
  <c r="C20" i="1"/>
  <c r="C21" i="1"/>
  <c r="C22" i="1"/>
  <c r="C23" i="1"/>
  <c r="C24" i="1"/>
  <c r="C25" i="1"/>
  <c r="C26" i="1"/>
  <c r="C27" i="1"/>
  <c r="C28" i="1"/>
  <c r="C29" i="1"/>
  <c r="C30" i="1"/>
  <c r="C38" i="3" l="1"/>
  <c r="B38" i="3"/>
  <c r="C9" i="1" l="1"/>
  <c r="F9" i="1"/>
  <c r="G9" i="1" l="1"/>
  <c r="B33" i="3" s="1"/>
  <c r="B35" i="3" s="1"/>
  <c r="C33" i="3" l="1"/>
  <c r="B39" i="3" l="1"/>
  <c r="C35" i="3"/>
  <c r="B44" i="3" l="1"/>
  <c r="B43" i="3"/>
  <c r="B49" i="3"/>
  <c r="C39" i="3"/>
  <c r="B48" i="3"/>
  <c r="B47" i="3"/>
  <c r="B42" i="3"/>
</calcChain>
</file>

<file path=xl/sharedStrings.xml><?xml version="1.0" encoding="utf-8"?>
<sst xmlns="http://schemas.openxmlformats.org/spreadsheetml/2006/main" count="66" uniqueCount="66">
  <si>
    <t>Cost / Acre</t>
  </si>
  <si>
    <t>Vineyard Management</t>
  </si>
  <si>
    <t>Bird/Pest Control Labour</t>
  </si>
  <si>
    <t>Harvesting Labour</t>
  </si>
  <si>
    <t>Vine Replacement, 2%</t>
  </si>
  <si>
    <t>Tying Material</t>
  </si>
  <si>
    <t>Pesticides/Herbicide</t>
  </si>
  <si>
    <t>Soil Amendments &amp; Testing</t>
  </si>
  <si>
    <t>Building Maintenance</t>
  </si>
  <si>
    <r>
      <t>Tractor Expenses</t>
    </r>
    <r>
      <rPr>
        <sz val="8"/>
        <color theme="1"/>
        <rFont val="Arial"/>
        <family val="2"/>
      </rPr>
      <t xml:space="preserve"> (maintenance &amp; fuel)</t>
    </r>
  </si>
  <si>
    <t>Gross Revenue</t>
  </si>
  <si>
    <t>Profitability</t>
  </si>
  <si>
    <t>Revenue</t>
  </si>
  <si>
    <t>For questions, assistance, or feedback with this tool, please contact:</t>
  </si>
  <si>
    <t>Nova Scotia Department of Agriculture</t>
  </si>
  <si>
    <t>Economist</t>
  </si>
  <si>
    <t>David Thibodeau</t>
  </si>
  <si>
    <t>david.thibodeau@novascotia.ca</t>
  </si>
  <si>
    <t>902-896-4882</t>
  </si>
  <si>
    <r>
      <rPr>
        <b/>
        <sz val="11"/>
        <color theme="1"/>
        <rFont val="Calibri"/>
        <family val="2"/>
        <scheme val="minor"/>
      </rPr>
      <t>1. Capital Costs</t>
    </r>
    <r>
      <rPr>
        <sz val="11"/>
        <color theme="1"/>
        <rFont val="Calibri"/>
        <family val="2"/>
        <scheme val="minor"/>
      </rPr>
      <t xml:space="preserve"> - this section guides the user through the ownership cost calculations. Ownership costs are annualized using the capital recovery method.</t>
    </r>
  </si>
  <si>
    <r>
      <rPr>
        <b/>
        <sz val="11"/>
        <color theme="1"/>
        <rFont val="Calibri"/>
        <family val="2"/>
        <scheme val="minor"/>
      </rPr>
      <t>3. Budget</t>
    </r>
    <r>
      <rPr>
        <sz val="11"/>
        <color theme="1"/>
        <rFont val="Calibri"/>
        <family val="2"/>
        <scheme val="minor"/>
      </rPr>
      <t xml:space="preserve"> - this section guides the user through the cost of production calculations for a typical production year.  </t>
    </r>
  </si>
  <si>
    <t xml:space="preserve">This section is used to estimate the ownership costs over the production years. </t>
  </si>
  <si>
    <t>Step 1. Farm Size (acres):</t>
  </si>
  <si>
    <t xml:space="preserve">Salvage Value </t>
  </si>
  <si>
    <t>Capital Item</t>
  </si>
  <si>
    <t xml:space="preserve">Market Value </t>
  </si>
  <si>
    <t>Herbicide Sprayer</t>
  </si>
  <si>
    <t>Backpack Sprayer</t>
  </si>
  <si>
    <t>Rotary Mower</t>
  </si>
  <si>
    <t>Fertilizer Spreader</t>
  </si>
  <si>
    <t>Hand Equipment</t>
  </si>
  <si>
    <t>Trailer</t>
  </si>
  <si>
    <t>Hedger</t>
  </si>
  <si>
    <t>Harvesting Equipment</t>
  </si>
  <si>
    <t>Tractor</t>
  </si>
  <si>
    <t>Airblast Sprayer</t>
  </si>
  <si>
    <t>Buildings</t>
  </si>
  <si>
    <t>Other Capital Items:</t>
  </si>
  <si>
    <t>Pest Control (bird netting/waler/etc.)</t>
  </si>
  <si>
    <t>Step 2. Required Rate of Return on Investment (%):</t>
  </si>
  <si>
    <t>(It is recommended that you use at least 5%)</t>
  </si>
  <si>
    <t>Capital Recovery Factor</t>
  </si>
  <si>
    <t>Capital Recovery Charge</t>
  </si>
  <si>
    <r>
      <t>Administrative Costs</t>
    </r>
    <r>
      <rPr>
        <sz val="8"/>
        <color theme="1"/>
        <rFont val="Arial"/>
        <family val="2"/>
      </rPr>
      <t xml:space="preserve"> (accounting, legal, membership fees)</t>
    </r>
  </si>
  <si>
    <t>Labour:</t>
  </si>
  <si>
    <t>Other Expenses:</t>
  </si>
  <si>
    <t xml:space="preserve">Total </t>
  </si>
  <si>
    <t>Expenses</t>
  </si>
  <si>
    <t>Ownership Costs</t>
  </si>
  <si>
    <t>Total Operating Expenses</t>
  </si>
  <si>
    <t>Cost of Capital</t>
  </si>
  <si>
    <t>Remaining Lifespan Over Production Years (Years)</t>
  </si>
  <si>
    <t>Value per Acre</t>
  </si>
  <si>
    <t>Production (Quantity)</t>
  </si>
  <si>
    <t>Total Costs Shown</t>
  </si>
  <si>
    <t>Return Over Operating Costs</t>
  </si>
  <si>
    <t>Return Over Total Costs Shown</t>
  </si>
  <si>
    <t>Unit of Measure</t>
  </si>
  <si>
    <t>MT</t>
  </si>
  <si>
    <t xml:space="preserve">The user can enter his/her values in the white shaded cells with blue font. The default values found in this tool are for illustrative purposes only. </t>
  </si>
  <si>
    <t>Although efforts have been made to ensure that this tool is free from errors, the user of this tool assumes full responsibility for any errors or omissions.</t>
  </si>
  <si>
    <t>The tool is divided into two sections:</t>
  </si>
  <si>
    <t>Cost of Production Tool - Wine Grapes</t>
  </si>
  <si>
    <t>Step 3. Please list the capital items used for production , such as vineyard land, machinery, equipment, and other durable items. Estimates on market value, useful lifespan and salvage value are used to calculate the annual capital recovery costs. If you are uncertain about the lifespan of the capital, enter the number of productions years over which you would like to recover the capital investment.</t>
  </si>
  <si>
    <t>Established Vineyard Land (including vines, trellis, drainage tile)</t>
  </si>
  <si>
    <t>This cost of production tool is designed to assist producers with calculating their annual cost of production for a new vineyard.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</si>
</sst>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0.0000"/>
    <numFmt numFmtId="165" formatCode="_(* #,##0_);_(* \(#,##0\);_(* &quot;-&quot;??_);_(@_)"/>
    <numFmt numFmtId="166" formatCode="&quot;$&quot;#,##0.00"/>
  </numFmts>
  <fonts count="14"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8"/>
      <color theme="1"/>
      <name val="Arial"/>
      <family val="2"/>
    </font>
    <font>
      <b/>
      <sz val="11"/>
      <color theme="1"/>
      <name val="Calibri"/>
      <family val="2"/>
      <scheme val="minor"/>
    </font>
    <font>
      <b/>
      <sz val="10"/>
      <name val="Arial"/>
      <family val="2"/>
    </font>
    <font>
      <u/>
      <sz val="10"/>
      <color indexed="12"/>
      <name val="Arial"/>
      <family val="2"/>
    </font>
    <font>
      <b/>
      <sz val="16"/>
      <name val="Arial"/>
      <family val="2"/>
    </font>
    <font>
      <sz val="11"/>
      <name val="Calibri"/>
      <family val="2"/>
      <scheme val="minor"/>
    </font>
    <font>
      <sz val="8"/>
      <color theme="0" tint="-0.34998626667073579"/>
      <name val="Calibri"/>
      <family val="2"/>
      <scheme val="minor"/>
    </font>
    <font>
      <b/>
      <sz val="15"/>
      <color theme="1"/>
      <name val="Calibri"/>
      <family val="2"/>
      <scheme val="minor"/>
    </font>
    <font>
      <b/>
      <sz val="11"/>
      <color theme="3"/>
      <name val="Calibri"/>
      <family val="2"/>
      <scheme val="minor"/>
    </font>
    <font>
      <b/>
      <sz val="10"/>
      <color theme="3"/>
      <name val="Arial"/>
      <family val="2"/>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alignment vertical="top"/>
      <protection locked="0"/>
    </xf>
  </cellStyleXfs>
  <cellXfs count="101">
    <xf numFmtId="0" fontId="0" fillId="0" borderId="0" xfId="0"/>
    <xf numFmtId="0" fontId="8" fillId="3" borderId="3" xfId="0" applyFont="1" applyFill="1" applyBorder="1"/>
    <xf numFmtId="0" fontId="5" fillId="3" borderId="7" xfId="0" applyFont="1" applyFill="1" applyBorder="1"/>
    <xf numFmtId="0" fontId="5" fillId="3" borderId="4" xfId="0" applyFont="1" applyFill="1" applyBorder="1"/>
    <xf numFmtId="0" fontId="0" fillId="3" borderId="8" xfId="0" applyFill="1" applyBorder="1"/>
    <xf numFmtId="0" fontId="0" fillId="3" borderId="0" xfId="0" applyFill="1" applyBorder="1"/>
    <xf numFmtId="0" fontId="0" fillId="3" borderId="9" xfId="0" applyFill="1" applyBorder="1"/>
    <xf numFmtId="0" fontId="6" fillId="3" borderId="8" xfId="0" applyFont="1" applyFill="1" applyBorder="1"/>
    <xf numFmtId="0" fontId="7" fillId="3" borderId="8" xfId="3" applyFill="1" applyBorder="1" applyAlignment="1" applyProtection="1"/>
    <xf numFmtId="0" fontId="0" fillId="3" borderId="5" xfId="0" applyFill="1" applyBorder="1"/>
    <xf numFmtId="0" fontId="0" fillId="3" borderId="1" xfId="0" applyFill="1" applyBorder="1"/>
    <xf numFmtId="0" fontId="0" fillId="3" borderId="6" xfId="0" applyFill="1" applyBorder="1"/>
    <xf numFmtId="0" fontId="5" fillId="3" borderId="10" xfId="0" applyFont="1" applyFill="1" applyBorder="1"/>
    <xf numFmtId="0" fontId="0" fillId="3" borderId="10" xfId="0" applyFill="1" applyBorder="1"/>
    <xf numFmtId="0" fontId="0" fillId="3" borderId="11" xfId="0" applyFill="1" applyBorder="1"/>
    <xf numFmtId="0" fontId="5" fillId="2" borderId="0" xfId="0" applyFont="1" applyFill="1"/>
    <xf numFmtId="0" fontId="0" fillId="2" borderId="0" xfId="0" applyFill="1"/>
    <xf numFmtId="0" fontId="0" fillId="2" borderId="0" xfId="0" applyFill="1" applyBorder="1"/>
    <xf numFmtId="4" fontId="0" fillId="2" borderId="0" xfId="0" applyNumberFormat="1" applyFill="1" applyBorder="1"/>
    <xf numFmtId="4" fontId="0" fillId="2" borderId="0" xfId="0" applyNumberFormat="1" applyFill="1"/>
    <xf numFmtId="0" fontId="10" fillId="2" borderId="0" xfId="0" applyFont="1" applyFill="1" applyAlignment="1">
      <alignment horizontal="left"/>
    </xf>
    <xf numFmtId="165" fontId="0" fillId="2" borderId="0" xfId="0" applyNumberFormat="1" applyFill="1"/>
    <xf numFmtId="0" fontId="11" fillId="2" borderId="0" xfId="0" applyFont="1" applyFill="1"/>
    <xf numFmtId="2" fontId="3" fillId="2" borderId="0" xfId="0" applyNumberFormat="1" applyFont="1" applyFill="1" applyBorder="1"/>
    <xf numFmtId="164" fontId="0" fillId="4" borderId="10" xfId="0" applyNumberFormat="1" applyFill="1" applyBorder="1" applyAlignment="1">
      <alignment horizontal="right"/>
    </xf>
    <xf numFmtId="0" fontId="5" fillId="3" borderId="10" xfId="0" applyFont="1" applyFill="1" applyBorder="1" applyAlignment="1">
      <alignment horizontal="left" wrapText="1"/>
    </xf>
    <xf numFmtId="0" fontId="5" fillId="3" borderId="10" xfId="0" applyFont="1" applyFill="1" applyBorder="1" applyAlignment="1">
      <alignment horizontal="right" wrapText="1"/>
    </xf>
    <xf numFmtId="0" fontId="0" fillId="3" borderId="10" xfId="0" applyFill="1" applyBorder="1" applyAlignment="1">
      <alignment horizontal="left"/>
    </xf>
    <xf numFmtId="4" fontId="12" fillId="2" borderId="10" xfId="0" applyNumberFormat="1" applyFont="1" applyFill="1" applyBorder="1" applyAlignment="1">
      <alignment horizontal="right"/>
    </xf>
    <xf numFmtId="4" fontId="12" fillId="2" borderId="10" xfId="0" applyNumberFormat="1" applyFont="1" applyFill="1" applyBorder="1"/>
    <xf numFmtId="10" fontId="12" fillId="2" borderId="10" xfId="0" applyNumberFormat="1" applyFont="1" applyFill="1" applyBorder="1"/>
    <xf numFmtId="0" fontId="2" fillId="3" borderId="10" xfId="0" applyFont="1" applyFill="1" applyBorder="1"/>
    <xf numFmtId="4" fontId="13" fillId="2" borderId="10" xfId="2" applyNumberFormat="1" applyFont="1" applyFill="1" applyBorder="1"/>
    <xf numFmtId="2" fontId="3" fillId="3" borderId="10" xfId="0" applyNumberFormat="1" applyFont="1" applyFill="1" applyBorder="1"/>
    <xf numFmtId="2" fontId="2" fillId="3" borderId="10" xfId="0" applyNumberFormat="1" applyFont="1" applyFill="1" applyBorder="1" applyAlignment="1">
      <alignment horizontal="left" indent="1"/>
    </xf>
    <xf numFmtId="2" fontId="2" fillId="3" borderId="10" xfId="0" applyNumberFormat="1" applyFont="1" applyFill="1" applyBorder="1" applyAlignment="1">
      <alignment horizontal="left" indent="2"/>
    </xf>
    <xf numFmtId="4" fontId="12" fillId="2" borderId="15" xfId="0" applyNumberFormat="1" applyFont="1" applyFill="1" applyBorder="1" applyAlignment="1">
      <alignment horizontal="right"/>
    </xf>
    <xf numFmtId="164" fontId="0" fillId="4" borderId="15" xfId="0" applyNumberFormat="1" applyFill="1" applyBorder="1" applyAlignment="1">
      <alignment horizontal="right"/>
    </xf>
    <xf numFmtId="2" fontId="2" fillId="3" borderId="10" xfId="0" applyNumberFormat="1" applyFont="1" applyFill="1" applyBorder="1"/>
    <xf numFmtId="2" fontId="3" fillId="3" borderId="8" xfId="0" applyNumberFormat="1" applyFont="1" applyFill="1" applyBorder="1"/>
    <xf numFmtId="2" fontId="3" fillId="2" borderId="8" xfId="0" applyNumberFormat="1" applyFont="1" applyFill="1" applyBorder="1"/>
    <xf numFmtId="2" fontId="3" fillId="2" borderId="9" xfId="0" applyNumberFormat="1" applyFont="1" applyFill="1" applyBorder="1"/>
    <xf numFmtId="2" fontId="2" fillId="2" borderId="8" xfId="0" applyNumberFormat="1" applyFont="1" applyFill="1" applyBorder="1" applyAlignment="1">
      <alignment horizontal="left" indent="1"/>
    </xf>
    <xf numFmtId="2" fontId="2" fillId="2" borderId="8" xfId="0" applyNumberFormat="1" applyFont="1" applyFill="1" applyBorder="1"/>
    <xf numFmtId="2" fontId="3" fillId="3" borderId="10" xfId="0" applyNumberFormat="1" applyFont="1" applyFill="1" applyBorder="1" applyAlignment="1">
      <alignment horizontal="left" indent="1"/>
    </xf>
    <xf numFmtId="2" fontId="3" fillId="3" borderId="12" xfId="0" applyNumberFormat="1" applyFont="1" applyFill="1" applyBorder="1"/>
    <xf numFmtId="0" fontId="3" fillId="3" borderId="13" xfId="0" applyFont="1" applyFill="1" applyBorder="1" applyAlignment="1">
      <alignment horizontal="right"/>
    </xf>
    <xf numFmtId="0" fontId="3" fillId="3" borderId="13" xfId="0" applyFont="1" applyFill="1" applyBorder="1" applyAlignment="1">
      <alignment horizontal="right" wrapText="1"/>
    </xf>
    <xf numFmtId="4" fontId="3" fillId="2" borderId="12" xfId="2" applyNumberFormat="1" applyFont="1" applyFill="1" applyBorder="1"/>
    <xf numFmtId="4" fontId="3" fillId="2" borderId="11" xfId="2" applyNumberFormat="1" applyFont="1" applyFill="1" applyBorder="1"/>
    <xf numFmtId="4" fontId="2" fillId="4" borderId="10" xfId="2" applyNumberFormat="1" applyFont="1" applyFill="1" applyBorder="1"/>
    <xf numFmtId="2" fontId="3" fillId="3" borderId="10" xfId="0" applyNumberFormat="1" applyFont="1" applyFill="1" applyBorder="1" applyAlignment="1"/>
    <xf numFmtId="2" fontId="2" fillId="3" borderId="10" xfId="2" applyNumberFormat="1" applyFont="1" applyFill="1" applyBorder="1" applyAlignment="1">
      <alignment horizontal="left" indent="1"/>
    </xf>
    <xf numFmtId="4" fontId="13" fillId="2" borderId="10" xfId="2" applyNumberFormat="1" applyFont="1" applyFill="1" applyBorder="1" applyAlignment="1">
      <alignment horizontal="right"/>
    </xf>
    <xf numFmtId="4" fontId="2" fillId="4" borderId="10" xfId="2" applyNumberFormat="1" applyFont="1" applyFill="1" applyBorder="1" applyAlignment="1">
      <alignment horizontal="right"/>
    </xf>
    <xf numFmtId="0" fontId="0" fillId="2" borderId="0" xfId="0" applyFill="1" applyAlignment="1">
      <alignment horizontal="right"/>
    </xf>
    <xf numFmtId="2" fontId="13" fillId="0" borderId="10" xfId="0" applyNumberFormat="1" applyFont="1" applyFill="1" applyBorder="1" applyAlignment="1">
      <alignment horizontal="left" indent="1"/>
    </xf>
    <xf numFmtId="166" fontId="12" fillId="2" borderId="10" xfId="0" applyNumberFormat="1" applyFont="1" applyFill="1" applyBorder="1" applyAlignment="1">
      <alignment horizontal="right"/>
    </xf>
    <xf numFmtId="166" fontId="9" fillId="4" borderId="10" xfId="0" applyNumberFormat="1" applyFont="1" applyFill="1" applyBorder="1" applyAlignment="1">
      <alignment horizontal="right"/>
    </xf>
    <xf numFmtId="166" fontId="12" fillId="2" borderId="15" xfId="0" applyNumberFormat="1" applyFont="1" applyFill="1" applyBorder="1" applyAlignment="1">
      <alignment horizontal="right"/>
    </xf>
    <xf numFmtId="166" fontId="9" fillId="4" borderId="15" xfId="0" applyNumberFormat="1" applyFont="1" applyFill="1" applyBorder="1" applyAlignment="1">
      <alignment horizontal="right"/>
    </xf>
    <xf numFmtId="166" fontId="0" fillId="4" borderId="10" xfId="0" applyNumberFormat="1" applyFill="1" applyBorder="1" applyAlignment="1">
      <alignment horizontal="right"/>
    </xf>
    <xf numFmtId="166" fontId="0" fillId="4" borderId="15" xfId="0" applyNumberFormat="1" applyFill="1" applyBorder="1" applyAlignment="1">
      <alignment horizontal="right"/>
    </xf>
    <xf numFmtId="0" fontId="12" fillId="2" borderId="10" xfId="0" applyFont="1" applyFill="1" applyBorder="1" applyAlignment="1">
      <alignment horizontal="left"/>
    </xf>
    <xf numFmtId="0" fontId="12" fillId="2" borderId="15" xfId="0" applyFont="1" applyFill="1" applyBorder="1" applyAlignment="1">
      <alignment horizontal="left"/>
    </xf>
    <xf numFmtId="2" fontId="13" fillId="2" borderId="10" xfId="0" applyNumberFormat="1" applyFont="1" applyFill="1" applyBorder="1" applyAlignment="1">
      <alignment horizontal="left" indent="1"/>
    </xf>
    <xf numFmtId="166" fontId="13" fillId="2" borderId="10" xfId="2" applyNumberFormat="1" applyFont="1" applyFill="1" applyBorder="1"/>
    <xf numFmtId="166" fontId="3" fillId="4" borderId="10" xfId="2" applyNumberFormat="1" applyFont="1" applyFill="1" applyBorder="1"/>
    <xf numFmtId="166" fontId="2" fillId="2" borderId="0" xfId="0" applyNumberFormat="1" applyFont="1" applyFill="1" applyBorder="1"/>
    <xf numFmtId="166" fontId="2" fillId="2" borderId="9" xfId="0" applyNumberFormat="1" applyFont="1" applyFill="1" applyBorder="1"/>
    <xf numFmtId="166" fontId="2" fillId="2" borderId="12" xfId="0" applyNumberFormat="1" applyFont="1" applyFill="1" applyBorder="1"/>
    <xf numFmtId="166" fontId="2" fillId="2" borderId="11" xfId="0" applyNumberFormat="1" applyFont="1" applyFill="1" applyBorder="1"/>
    <xf numFmtId="166" fontId="2" fillId="2" borderId="14" xfId="2" applyNumberFormat="1" applyFont="1" applyFill="1" applyBorder="1"/>
    <xf numFmtId="166" fontId="2" fillId="2" borderId="14" xfId="1" applyNumberFormat="1" applyFont="1" applyFill="1" applyBorder="1"/>
    <xf numFmtId="166" fontId="13" fillId="2" borderId="10" xfId="1" applyNumberFormat="1" applyFont="1" applyFill="1" applyBorder="1"/>
    <xf numFmtId="166" fontId="2" fillId="4" borderId="10" xfId="1" applyNumberFormat="1" applyFont="1" applyFill="1" applyBorder="1"/>
    <xf numFmtId="166" fontId="2" fillId="4" borderId="14" xfId="1" applyNumberFormat="1" applyFont="1" applyFill="1" applyBorder="1"/>
    <xf numFmtId="166" fontId="2" fillId="2" borderId="1" xfId="1" applyNumberFormat="1" applyFont="1" applyFill="1" applyBorder="1"/>
    <xf numFmtId="166" fontId="2" fillId="2" borderId="6" xfId="1" applyNumberFormat="1" applyFont="1" applyFill="1" applyBorder="1"/>
    <xf numFmtId="166" fontId="3" fillId="2" borderId="0" xfId="0" applyNumberFormat="1" applyFont="1" applyFill="1" applyBorder="1"/>
    <xf numFmtId="166" fontId="3" fillId="2" borderId="9" xfId="0" applyNumberFormat="1" applyFont="1" applyFill="1" applyBorder="1"/>
    <xf numFmtId="166" fontId="3" fillId="4" borderId="14" xfId="0" applyNumberFormat="1" applyFont="1" applyFill="1" applyBorder="1"/>
    <xf numFmtId="166" fontId="3" fillId="4" borderId="10" xfId="0" applyNumberFormat="1" applyFont="1" applyFill="1" applyBorder="1"/>
    <xf numFmtId="166" fontId="0" fillId="2" borderId="0" xfId="0" applyNumberFormat="1" applyFill="1"/>
    <xf numFmtId="0" fontId="0" fillId="3" borderId="8" xfId="0" applyFill="1" applyBorder="1" applyAlignment="1">
      <alignment horizontal="left" wrapText="1"/>
    </xf>
    <xf numFmtId="0" fontId="0" fillId="3" borderId="0" xfId="0" applyFill="1" applyBorder="1" applyAlignment="1">
      <alignment horizontal="left" wrapText="1"/>
    </xf>
    <xf numFmtId="0" fontId="0" fillId="3" borderId="9" xfId="0" applyFill="1" applyBorder="1" applyAlignment="1">
      <alignment horizontal="left" wrapText="1"/>
    </xf>
    <xf numFmtId="0" fontId="5" fillId="3" borderId="12"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3" borderId="11" xfId="0" applyFont="1" applyFill="1" applyBorder="1" applyAlignment="1">
      <alignment horizontal="left" vertical="top" wrapText="1"/>
    </xf>
    <xf numFmtId="2" fontId="2" fillId="4" borderId="12" xfId="0" applyNumberFormat="1" applyFont="1" applyFill="1" applyBorder="1" applyAlignment="1">
      <alignment horizontal="center"/>
    </xf>
    <xf numFmtId="2" fontId="2" fillId="4" borderId="11" xfId="0" applyNumberFormat="1" applyFont="1" applyFill="1" applyBorder="1" applyAlignment="1">
      <alignment horizontal="center"/>
    </xf>
    <xf numFmtId="2" fontId="3" fillId="3" borderId="12" xfId="0" applyNumberFormat="1" applyFont="1" applyFill="1" applyBorder="1" applyAlignment="1">
      <alignment horizontal="center" wrapText="1"/>
    </xf>
    <xf numFmtId="2" fontId="3" fillId="3" borderId="11" xfId="0" applyNumberFormat="1" applyFont="1" applyFill="1" applyBorder="1" applyAlignment="1">
      <alignment horizontal="center" wrapText="1"/>
    </xf>
    <xf numFmtId="166" fontId="3" fillId="2" borderId="0" xfId="0" applyNumberFormat="1" applyFont="1" applyFill="1" applyBorder="1" applyAlignment="1">
      <alignment horizontal="center"/>
    </xf>
    <xf numFmtId="166" fontId="3" fillId="2" borderId="9" xfId="0" applyNumberFormat="1" applyFont="1" applyFill="1" applyBorder="1" applyAlignment="1">
      <alignment horizontal="center"/>
    </xf>
    <xf numFmtId="2" fontId="3" fillId="3" borderId="8" xfId="0" applyNumberFormat="1" applyFont="1" applyFill="1" applyBorder="1" applyAlignment="1">
      <alignment horizontal="center"/>
    </xf>
    <xf numFmtId="2" fontId="3" fillId="3" borderId="0" xfId="0" applyNumberFormat="1" applyFont="1" applyFill="1" applyBorder="1" applyAlignment="1">
      <alignment horizontal="center"/>
    </xf>
    <xf numFmtId="2" fontId="3" fillId="3" borderId="9" xfId="0" applyNumberFormat="1" applyFont="1" applyFill="1" applyBorder="1" applyAlignment="1">
      <alignment horizontal="center"/>
    </xf>
    <xf numFmtId="166" fontId="2" fillId="4" borderId="12" xfId="0" applyNumberFormat="1" applyFont="1" applyFill="1" applyBorder="1" applyAlignment="1">
      <alignment horizontal="center"/>
    </xf>
    <xf numFmtId="166" fontId="2" fillId="4" borderId="11" xfId="0" applyNumberFormat="1" applyFont="1" applyFill="1" applyBorder="1" applyAlignment="1">
      <alignment horizontal="center"/>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vid.thibodeau@novascotia.c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M21"/>
  <sheetViews>
    <sheetView tabSelected="1" workbookViewId="0">
      <selection activeCell="M8" sqref="M8"/>
    </sheetView>
  </sheetViews>
  <sheetFormatPr defaultColWidth="8.85546875" defaultRowHeight="15" x14ac:dyDescent="0.25"/>
  <cols>
    <col min="1" max="16384" width="8.85546875" style="16"/>
  </cols>
  <sheetData>
    <row r="1" spans="1:13" s="15" customFormat="1" ht="26.45" customHeight="1" x14ac:dyDescent="0.3">
      <c r="A1" s="1" t="s">
        <v>62</v>
      </c>
      <c r="B1" s="2"/>
      <c r="C1" s="2"/>
      <c r="D1" s="2"/>
      <c r="E1" s="2"/>
      <c r="F1" s="2"/>
      <c r="G1" s="2"/>
      <c r="H1" s="2"/>
      <c r="I1" s="2"/>
      <c r="J1" s="2"/>
      <c r="K1" s="2"/>
      <c r="L1" s="2"/>
      <c r="M1" s="3"/>
    </row>
    <row r="2" spans="1:13" x14ac:dyDescent="0.25">
      <c r="A2" s="4"/>
      <c r="B2" s="5"/>
      <c r="C2" s="5"/>
      <c r="D2" s="5"/>
      <c r="E2" s="5"/>
      <c r="F2" s="5"/>
      <c r="G2" s="5"/>
      <c r="H2" s="5"/>
      <c r="I2" s="5"/>
      <c r="J2" s="5"/>
      <c r="K2" s="5"/>
      <c r="L2" s="5"/>
      <c r="M2" s="6"/>
    </row>
    <row r="3" spans="1:13" x14ac:dyDescent="0.25">
      <c r="A3" s="4" t="s">
        <v>65</v>
      </c>
      <c r="B3" s="5"/>
      <c r="C3" s="5"/>
      <c r="D3" s="5"/>
      <c r="E3" s="5"/>
      <c r="F3" s="5"/>
      <c r="G3" s="5"/>
      <c r="H3" s="5"/>
      <c r="I3" s="5"/>
      <c r="J3" s="5"/>
      <c r="K3" s="5"/>
      <c r="L3" s="5"/>
      <c r="M3" s="6"/>
    </row>
    <row r="4" spans="1:13" x14ac:dyDescent="0.25">
      <c r="A4" s="4"/>
      <c r="B4" s="5"/>
      <c r="C4" s="5"/>
      <c r="D4" s="5"/>
      <c r="E4" s="5"/>
      <c r="F4" s="5"/>
      <c r="G4" s="5"/>
      <c r="H4" s="5"/>
      <c r="I4" s="5"/>
      <c r="J4" s="5"/>
      <c r="K4" s="5"/>
      <c r="L4" s="5"/>
      <c r="M4" s="6"/>
    </row>
    <row r="5" spans="1:13" x14ac:dyDescent="0.25">
      <c r="A5" s="4" t="s">
        <v>61</v>
      </c>
      <c r="B5" s="5"/>
      <c r="C5" s="5"/>
      <c r="D5" s="5"/>
      <c r="E5" s="5"/>
      <c r="F5" s="5"/>
      <c r="G5" s="5"/>
      <c r="H5" s="5"/>
      <c r="I5" s="5"/>
      <c r="J5" s="5"/>
      <c r="K5" s="5"/>
      <c r="L5" s="5"/>
      <c r="M5" s="6"/>
    </row>
    <row r="6" spans="1:13" ht="34.15" customHeight="1" x14ac:dyDescent="0.25">
      <c r="A6" s="84" t="s">
        <v>19</v>
      </c>
      <c r="B6" s="85"/>
      <c r="C6" s="85"/>
      <c r="D6" s="85"/>
      <c r="E6" s="85"/>
      <c r="F6" s="85"/>
      <c r="G6" s="85"/>
      <c r="H6" s="85"/>
      <c r="I6" s="85"/>
      <c r="J6" s="85"/>
      <c r="K6" s="85"/>
      <c r="L6" s="85"/>
      <c r="M6" s="6"/>
    </row>
    <row r="7" spans="1:13" ht="23.45" customHeight="1" x14ac:dyDescent="0.25">
      <c r="A7" s="84" t="s">
        <v>20</v>
      </c>
      <c r="B7" s="85"/>
      <c r="C7" s="85"/>
      <c r="D7" s="85"/>
      <c r="E7" s="85"/>
      <c r="F7" s="85"/>
      <c r="G7" s="85"/>
      <c r="H7" s="85"/>
      <c r="I7" s="85"/>
      <c r="J7" s="85"/>
      <c r="K7" s="85"/>
      <c r="L7" s="85"/>
      <c r="M7" s="6"/>
    </row>
    <row r="8" spans="1:13" x14ac:dyDescent="0.25">
      <c r="A8" s="4"/>
      <c r="B8" s="5"/>
      <c r="C8" s="5"/>
      <c r="D8" s="5"/>
      <c r="E8" s="5"/>
      <c r="F8" s="5"/>
      <c r="G8" s="5"/>
      <c r="H8" s="5"/>
      <c r="I8" s="5"/>
      <c r="J8" s="5"/>
      <c r="K8" s="5"/>
      <c r="L8" s="5"/>
      <c r="M8" s="6"/>
    </row>
    <row r="9" spans="1:13" ht="31.15" customHeight="1" x14ac:dyDescent="0.25">
      <c r="A9" s="84" t="s">
        <v>59</v>
      </c>
      <c r="B9" s="85"/>
      <c r="C9" s="85"/>
      <c r="D9" s="85"/>
      <c r="E9" s="85"/>
      <c r="F9" s="85"/>
      <c r="G9" s="85"/>
      <c r="H9" s="85"/>
      <c r="I9" s="85"/>
      <c r="J9" s="85"/>
      <c r="K9" s="85"/>
      <c r="L9" s="85"/>
      <c r="M9" s="86"/>
    </row>
    <row r="10" spans="1:13" ht="37.9" customHeight="1" x14ac:dyDescent="0.25">
      <c r="A10" s="84" t="s">
        <v>60</v>
      </c>
      <c r="B10" s="85"/>
      <c r="C10" s="85"/>
      <c r="D10" s="85"/>
      <c r="E10" s="85"/>
      <c r="F10" s="85"/>
      <c r="G10" s="85"/>
      <c r="H10" s="85"/>
      <c r="I10" s="85"/>
      <c r="J10" s="85"/>
      <c r="K10" s="85"/>
      <c r="L10" s="85"/>
      <c r="M10" s="86"/>
    </row>
    <row r="11" spans="1:13" ht="28.15" customHeight="1" x14ac:dyDescent="0.25">
      <c r="A11" s="4" t="s">
        <v>13</v>
      </c>
      <c r="B11" s="5"/>
      <c r="C11" s="5"/>
      <c r="D11" s="5"/>
      <c r="E11" s="5"/>
      <c r="F11" s="5"/>
      <c r="G11" s="5"/>
      <c r="H11" s="5"/>
      <c r="I11" s="5"/>
      <c r="J11" s="5"/>
      <c r="K11" s="5"/>
      <c r="L11" s="5"/>
      <c r="M11" s="6"/>
    </row>
    <row r="12" spans="1:13" x14ac:dyDescent="0.25">
      <c r="A12" s="7" t="s">
        <v>16</v>
      </c>
      <c r="B12" s="5"/>
      <c r="C12" s="5"/>
      <c r="D12" s="5"/>
      <c r="E12" s="5"/>
      <c r="F12" s="5"/>
      <c r="G12" s="5"/>
      <c r="H12" s="5"/>
      <c r="I12" s="5"/>
      <c r="J12" s="5"/>
      <c r="K12" s="5"/>
      <c r="L12" s="5"/>
      <c r="M12" s="6"/>
    </row>
    <row r="13" spans="1:13" x14ac:dyDescent="0.25">
      <c r="A13" s="4" t="s">
        <v>14</v>
      </c>
      <c r="B13" s="5"/>
      <c r="C13" s="5"/>
      <c r="D13" s="5"/>
      <c r="E13" s="5"/>
      <c r="F13" s="5"/>
      <c r="G13" s="5"/>
      <c r="H13" s="5"/>
      <c r="I13" s="5"/>
      <c r="J13" s="5"/>
      <c r="K13" s="5"/>
      <c r="L13" s="5"/>
      <c r="M13" s="6"/>
    </row>
    <row r="14" spans="1:13" x14ac:dyDescent="0.25">
      <c r="A14" s="4" t="s">
        <v>15</v>
      </c>
      <c r="B14" s="5"/>
      <c r="C14" s="5"/>
      <c r="D14" s="5"/>
      <c r="E14" s="5"/>
      <c r="F14" s="5"/>
      <c r="G14" s="5"/>
      <c r="H14" s="5"/>
      <c r="I14" s="5"/>
      <c r="J14" s="5"/>
      <c r="K14" s="5"/>
      <c r="L14" s="5"/>
      <c r="M14" s="6"/>
    </row>
    <row r="15" spans="1:13" x14ac:dyDescent="0.25">
      <c r="A15" s="4" t="s">
        <v>18</v>
      </c>
      <c r="B15" s="5"/>
      <c r="C15" s="5"/>
      <c r="D15" s="5"/>
      <c r="E15" s="5"/>
      <c r="F15" s="5"/>
      <c r="G15" s="5"/>
      <c r="H15" s="5"/>
      <c r="I15" s="5"/>
      <c r="J15" s="5"/>
      <c r="K15" s="5"/>
      <c r="L15" s="5"/>
      <c r="M15" s="6"/>
    </row>
    <row r="16" spans="1:13" x14ac:dyDescent="0.25">
      <c r="A16" s="8" t="s">
        <v>17</v>
      </c>
      <c r="B16" s="5"/>
      <c r="C16" s="5"/>
      <c r="D16" s="5"/>
      <c r="E16" s="5"/>
      <c r="F16" s="5"/>
      <c r="G16" s="5"/>
      <c r="H16" s="5"/>
      <c r="I16" s="5"/>
      <c r="J16" s="5"/>
      <c r="K16" s="5"/>
      <c r="L16" s="5"/>
      <c r="M16" s="6"/>
    </row>
    <row r="17" spans="1:13" x14ac:dyDescent="0.25">
      <c r="A17" s="4"/>
      <c r="B17" s="5"/>
      <c r="C17" s="5"/>
      <c r="D17" s="5"/>
      <c r="E17" s="5"/>
      <c r="F17" s="5"/>
      <c r="G17" s="5"/>
      <c r="H17" s="5"/>
      <c r="I17" s="5"/>
      <c r="J17" s="5"/>
      <c r="K17" s="5"/>
      <c r="L17" s="5"/>
      <c r="M17" s="6"/>
    </row>
    <row r="18" spans="1:13" x14ac:dyDescent="0.25">
      <c r="A18" s="4"/>
      <c r="B18" s="5"/>
      <c r="C18" s="5"/>
      <c r="D18" s="5"/>
      <c r="E18" s="5"/>
      <c r="F18" s="5"/>
      <c r="G18" s="5"/>
      <c r="H18" s="5"/>
      <c r="I18" s="5"/>
      <c r="J18" s="5"/>
      <c r="K18" s="5"/>
      <c r="L18" s="5"/>
      <c r="M18" s="6"/>
    </row>
    <row r="19" spans="1:13" x14ac:dyDescent="0.25">
      <c r="A19" s="4"/>
      <c r="B19" s="5"/>
      <c r="C19" s="5"/>
      <c r="D19" s="5"/>
      <c r="E19" s="5"/>
      <c r="F19" s="5"/>
      <c r="G19" s="5"/>
      <c r="H19" s="5"/>
      <c r="I19" s="5"/>
      <c r="J19" s="5"/>
      <c r="K19" s="5"/>
      <c r="L19" s="5"/>
      <c r="M19" s="6"/>
    </row>
    <row r="20" spans="1:13" x14ac:dyDescent="0.25">
      <c r="A20" s="4"/>
      <c r="B20" s="5"/>
      <c r="C20" s="5"/>
      <c r="D20" s="5"/>
      <c r="E20" s="5"/>
      <c r="F20" s="5"/>
      <c r="G20" s="5"/>
      <c r="H20" s="5"/>
      <c r="I20" s="5"/>
      <c r="J20" s="5"/>
      <c r="K20" s="5"/>
      <c r="L20" s="5"/>
      <c r="M20" s="6"/>
    </row>
    <row r="21" spans="1:13" x14ac:dyDescent="0.25">
      <c r="A21" s="9"/>
      <c r="B21" s="10"/>
      <c r="C21" s="10"/>
      <c r="D21" s="10"/>
      <c r="E21" s="10"/>
      <c r="F21" s="10"/>
      <c r="G21" s="10"/>
      <c r="H21" s="10"/>
      <c r="I21" s="10"/>
      <c r="J21" s="10"/>
      <c r="K21" s="10"/>
      <c r="L21" s="10"/>
      <c r="M21" s="11"/>
    </row>
  </sheetData>
  <sheetProtection sheet="1" objects="1" scenarios="1"/>
  <mergeCells count="4">
    <mergeCell ref="A6:L6"/>
    <mergeCell ref="A7:L7"/>
    <mergeCell ref="A9:M9"/>
    <mergeCell ref="A10:M10"/>
  </mergeCells>
  <hyperlinks>
    <hyperlink ref="A16"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31"/>
  <sheetViews>
    <sheetView zoomScaleNormal="100" workbookViewId="0">
      <selection activeCell="A21" sqref="A21"/>
    </sheetView>
  </sheetViews>
  <sheetFormatPr defaultColWidth="8.85546875" defaultRowHeight="15" x14ac:dyDescent="0.25"/>
  <cols>
    <col min="1" max="1" width="51.85546875" style="16" customWidth="1"/>
    <col min="2" max="2" width="12.42578125" style="16" customWidth="1"/>
    <col min="3" max="3" width="13.28515625" style="16" customWidth="1"/>
    <col min="4" max="4" width="14.85546875" style="16" customWidth="1"/>
    <col min="5" max="5" width="14.140625" style="16" customWidth="1"/>
    <col min="6" max="6" width="12.42578125" style="16" customWidth="1"/>
    <col min="7" max="7" width="12.28515625" style="16" customWidth="1"/>
    <col min="8" max="8" width="8.85546875" style="16"/>
    <col min="9" max="9" width="10" style="16" bestFit="1" customWidth="1"/>
    <col min="10" max="16384" width="8.85546875" style="16"/>
  </cols>
  <sheetData>
    <row r="1" spans="1:8" x14ac:dyDescent="0.25">
      <c r="A1" s="15" t="s">
        <v>21</v>
      </c>
    </row>
    <row r="3" spans="1:8" x14ac:dyDescent="0.25">
      <c r="A3" s="12" t="s">
        <v>22</v>
      </c>
      <c r="B3" s="29">
        <v>10</v>
      </c>
    </row>
    <row r="5" spans="1:8" x14ac:dyDescent="0.25">
      <c r="A5" s="12" t="s">
        <v>39</v>
      </c>
      <c r="B5" s="13"/>
      <c r="C5" s="14"/>
      <c r="D5" s="30">
        <v>0.05</v>
      </c>
      <c r="E5" s="20" t="s">
        <v>40</v>
      </c>
    </row>
    <row r="6" spans="1:8" x14ac:dyDescent="0.25">
      <c r="A6" s="17"/>
      <c r="B6" s="17"/>
    </row>
    <row r="7" spans="1:8" s="15" customFormat="1" ht="70.900000000000006" customHeight="1" x14ac:dyDescent="0.25">
      <c r="A7" s="87" t="s">
        <v>63</v>
      </c>
      <c r="B7" s="88"/>
      <c r="C7" s="88"/>
      <c r="D7" s="88"/>
      <c r="E7" s="88"/>
      <c r="F7" s="88"/>
      <c r="G7" s="89"/>
    </row>
    <row r="8" spans="1:8" ht="61.15" customHeight="1" x14ac:dyDescent="0.25">
      <c r="A8" s="25" t="s">
        <v>24</v>
      </c>
      <c r="B8" s="26" t="s">
        <v>25</v>
      </c>
      <c r="C8" s="26" t="s">
        <v>0</v>
      </c>
      <c r="D8" s="26" t="s">
        <v>51</v>
      </c>
      <c r="E8" s="26" t="s">
        <v>23</v>
      </c>
      <c r="F8" s="26" t="s">
        <v>41</v>
      </c>
      <c r="G8" s="26" t="s">
        <v>42</v>
      </c>
    </row>
    <row r="9" spans="1:8" x14ac:dyDescent="0.25">
      <c r="A9" s="27" t="s">
        <v>34</v>
      </c>
      <c r="B9" s="57">
        <v>15000</v>
      </c>
      <c r="C9" s="58">
        <f>IF(B9&gt;0,B9/$B$3,"")</f>
        <v>1500</v>
      </c>
      <c r="D9" s="28">
        <v>11</v>
      </c>
      <c r="E9" s="57">
        <v>0</v>
      </c>
      <c r="F9" s="24">
        <f>IF(D9&gt;0,$D$5/(1-(1+$D$5)^(-D9)),"")</f>
        <v>0.12038889149066806</v>
      </c>
      <c r="G9" s="61">
        <f>IF(F9&lt;&gt;"",(B9-E9)*F9+$D$5*E9,"")</f>
        <v>1805.8333723600208</v>
      </c>
      <c r="H9" s="17"/>
    </row>
    <row r="10" spans="1:8" x14ac:dyDescent="0.25">
      <c r="A10" s="27" t="s">
        <v>35</v>
      </c>
      <c r="B10" s="57">
        <v>10000</v>
      </c>
      <c r="C10" s="58">
        <f t="shared" ref="C10:C30" si="0">IF(B10&gt;0,B10/$B$3,"")</f>
        <v>1000</v>
      </c>
      <c r="D10" s="28">
        <v>30</v>
      </c>
      <c r="E10" s="57">
        <v>0</v>
      </c>
      <c r="F10" s="24">
        <f t="shared" ref="F10:F30" si="1">IF(D10&gt;0,$D$5/(1-(1+$D$5)^(-D10)),"")</f>
        <v>6.5051435080276596E-2</v>
      </c>
      <c r="G10" s="61">
        <f t="shared" ref="G10:G30" si="2">IF(F10&lt;&gt;"",(B10-E10)*F10+$D$5*E10,"")</f>
        <v>650.51435080276599</v>
      </c>
      <c r="H10" s="18"/>
    </row>
    <row r="11" spans="1:8" x14ac:dyDescent="0.25">
      <c r="A11" s="27" t="s">
        <v>26</v>
      </c>
      <c r="B11" s="57">
        <v>3000</v>
      </c>
      <c r="C11" s="58">
        <f t="shared" si="0"/>
        <v>300</v>
      </c>
      <c r="D11" s="28">
        <v>30</v>
      </c>
      <c r="E11" s="57">
        <v>0</v>
      </c>
      <c r="F11" s="24">
        <f t="shared" si="1"/>
        <v>6.5051435080276596E-2</v>
      </c>
      <c r="G11" s="61">
        <f t="shared" si="2"/>
        <v>195.15430524082979</v>
      </c>
      <c r="H11" s="17"/>
    </row>
    <row r="12" spans="1:8" x14ac:dyDescent="0.25">
      <c r="A12" s="27" t="s">
        <v>27</v>
      </c>
      <c r="B12" s="57">
        <v>200</v>
      </c>
      <c r="C12" s="58">
        <f t="shared" si="0"/>
        <v>20</v>
      </c>
      <c r="D12" s="28">
        <v>30</v>
      </c>
      <c r="E12" s="57">
        <v>0</v>
      </c>
      <c r="F12" s="24">
        <f t="shared" si="1"/>
        <v>6.5051435080276596E-2</v>
      </c>
      <c r="G12" s="61">
        <f t="shared" si="2"/>
        <v>13.010287016055319</v>
      </c>
      <c r="H12" s="17"/>
    </row>
    <row r="13" spans="1:8" x14ac:dyDescent="0.25">
      <c r="A13" s="27" t="s">
        <v>28</v>
      </c>
      <c r="B13" s="57">
        <v>4500</v>
      </c>
      <c r="C13" s="58">
        <f t="shared" si="0"/>
        <v>450</v>
      </c>
      <c r="D13" s="28">
        <v>30</v>
      </c>
      <c r="E13" s="57">
        <v>0</v>
      </c>
      <c r="F13" s="24">
        <f t="shared" si="1"/>
        <v>6.5051435080276596E-2</v>
      </c>
      <c r="G13" s="61">
        <f t="shared" si="2"/>
        <v>292.73145786124468</v>
      </c>
      <c r="H13" s="17"/>
    </row>
    <row r="14" spans="1:8" x14ac:dyDescent="0.25">
      <c r="A14" s="27" t="s">
        <v>29</v>
      </c>
      <c r="B14" s="57">
        <v>2000</v>
      </c>
      <c r="C14" s="58">
        <f t="shared" si="0"/>
        <v>200</v>
      </c>
      <c r="D14" s="28">
        <v>30</v>
      </c>
      <c r="E14" s="57">
        <v>0</v>
      </c>
      <c r="F14" s="24">
        <f t="shared" si="1"/>
        <v>6.5051435080276596E-2</v>
      </c>
      <c r="G14" s="61">
        <f t="shared" si="2"/>
        <v>130.10287016055318</v>
      </c>
      <c r="H14" s="17"/>
    </row>
    <row r="15" spans="1:8" x14ac:dyDescent="0.25">
      <c r="A15" s="27" t="s">
        <v>30</v>
      </c>
      <c r="B15" s="57">
        <v>500</v>
      </c>
      <c r="C15" s="58">
        <f t="shared" si="0"/>
        <v>50</v>
      </c>
      <c r="D15" s="28">
        <v>30</v>
      </c>
      <c r="E15" s="57">
        <v>0</v>
      </c>
      <c r="F15" s="24">
        <f t="shared" si="1"/>
        <v>6.5051435080276596E-2</v>
      </c>
      <c r="G15" s="61">
        <f t="shared" si="2"/>
        <v>32.525717540138295</v>
      </c>
      <c r="H15" s="17"/>
    </row>
    <row r="16" spans="1:8" x14ac:dyDescent="0.25">
      <c r="A16" s="27" t="s">
        <v>31</v>
      </c>
      <c r="B16" s="57">
        <v>2500</v>
      </c>
      <c r="C16" s="58">
        <f t="shared" si="0"/>
        <v>250</v>
      </c>
      <c r="D16" s="28">
        <v>30</v>
      </c>
      <c r="E16" s="57">
        <v>0</v>
      </c>
      <c r="F16" s="24">
        <f t="shared" si="1"/>
        <v>6.5051435080276596E-2</v>
      </c>
      <c r="G16" s="61">
        <f t="shared" si="2"/>
        <v>162.6285877006915</v>
      </c>
      <c r="H16" s="17"/>
    </row>
    <row r="17" spans="1:9" x14ac:dyDescent="0.25">
      <c r="A17" s="27" t="s">
        <v>32</v>
      </c>
      <c r="B17" s="57">
        <v>10000</v>
      </c>
      <c r="C17" s="58">
        <f t="shared" si="0"/>
        <v>1000</v>
      </c>
      <c r="D17" s="28">
        <v>30</v>
      </c>
      <c r="E17" s="57">
        <v>0</v>
      </c>
      <c r="F17" s="24">
        <f t="shared" si="1"/>
        <v>6.5051435080276596E-2</v>
      </c>
      <c r="G17" s="61">
        <f t="shared" si="2"/>
        <v>650.51435080276599</v>
      </c>
      <c r="H17" s="17"/>
    </row>
    <row r="18" spans="1:9" x14ac:dyDescent="0.25">
      <c r="A18" s="27" t="s">
        <v>33</v>
      </c>
      <c r="B18" s="57">
        <v>500</v>
      </c>
      <c r="C18" s="58">
        <f t="shared" si="0"/>
        <v>50</v>
      </c>
      <c r="D18" s="28">
        <v>30</v>
      </c>
      <c r="E18" s="57">
        <v>0</v>
      </c>
      <c r="F18" s="24">
        <f t="shared" si="1"/>
        <v>6.5051435080276596E-2</v>
      </c>
      <c r="G18" s="61">
        <f t="shared" si="2"/>
        <v>32.525717540138295</v>
      </c>
      <c r="H18" s="17"/>
    </row>
    <row r="19" spans="1:9" x14ac:dyDescent="0.25">
      <c r="A19" s="27" t="s">
        <v>38</v>
      </c>
      <c r="B19" s="57">
        <v>5000</v>
      </c>
      <c r="C19" s="58">
        <f t="shared" si="0"/>
        <v>500</v>
      </c>
      <c r="D19" s="28">
        <v>30</v>
      </c>
      <c r="E19" s="57">
        <v>0</v>
      </c>
      <c r="F19" s="24">
        <f t="shared" si="1"/>
        <v>6.5051435080276596E-2</v>
      </c>
      <c r="G19" s="61">
        <f t="shared" si="2"/>
        <v>325.25717540138299</v>
      </c>
      <c r="H19" s="17"/>
    </row>
    <row r="20" spans="1:9" x14ac:dyDescent="0.25">
      <c r="A20" s="27" t="s">
        <v>36</v>
      </c>
      <c r="B20" s="57">
        <v>31360</v>
      </c>
      <c r="C20" s="58">
        <f t="shared" si="0"/>
        <v>3136</v>
      </c>
      <c r="D20" s="28">
        <v>30</v>
      </c>
      <c r="E20" s="57">
        <v>0</v>
      </c>
      <c r="F20" s="24">
        <f t="shared" si="1"/>
        <v>6.5051435080276596E-2</v>
      </c>
      <c r="G20" s="61">
        <f t="shared" si="2"/>
        <v>2040.0130041174741</v>
      </c>
      <c r="H20" s="17"/>
    </row>
    <row r="21" spans="1:9" x14ac:dyDescent="0.25">
      <c r="A21" s="27" t="s">
        <v>64</v>
      </c>
      <c r="B21" s="57">
        <f>163895.7144375+50000+35000+24000+48600</f>
        <v>321495.71443749999</v>
      </c>
      <c r="C21" s="58">
        <f t="shared" si="0"/>
        <v>32149.571443749999</v>
      </c>
      <c r="D21" s="28">
        <v>30</v>
      </c>
      <c r="E21" s="57">
        <v>50000</v>
      </c>
      <c r="F21" s="24">
        <f t="shared" si="1"/>
        <v>6.5051435080276596E-2</v>
      </c>
      <c r="G21" s="61">
        <f t="shared" si="2"/>
        <v>20161.185842304345</v>
      </c>
      <c r="H21" s="17"/>
      <c r="I21" s="83"/>
    </row>
    <row r="22" spans="1:9" x14ac:dyDescent="0.25">
      <c r="A22" s="27" t="s">
        <v>37</v>
      </c>
      <c r="B22" s="57"/>
      <c r="C22" s="58" t="str">
        <f t="shared" si="0"/>
        <v/>
      </c>
      <c r="D22" s="28"/>
      <c r="E22" s="57"/>
      <c r="F22" s="24" t="str">
        <f t="shared" si="1"/>
        <v/>
      </c>
      <c r="G22" s="61" t="str">
        <f t="shared" si="2"/>
        <v/>
      </c>
      <c r="H22" s="17"/>
      <c r="I22" s="83"/>
    </row>
    <row r="23" spans="1:9" x14ac:dyDescent="0.25">
      <c r="A23" s="63"/>
      <c r="B23" s="57"/>
      <c r="C23" s="58" t="str">
        <f t="shared" si="0"/>
        <v/>
      </c>
      <c r="D23" s="28"/>
      <c r="E23" s="57"/>
      <c r="F23" s="24" t="str">
        <f t="shared" si="1"/>
        <v/>
      </c>
      <c r="G23" s="61" t="str">
        <f t="shared" si="2"/>
        <v/>
      </c>
      <c r="H23" s="17"/>
    </row>
    <row r="24" spans="1:9" x14ac:dyDescent="0.25">
      <c r="A24" s="63"/>
      <c r="B24" s="57"/>
      <c r="C24" s="58" t="str">
        <f t="shared" si="0"/>
        <v/>
      </c>
      <c r="D24" s="28"/>
      <c r="E24" s="57"/>
      <c r="F24" s="24" t="str">
        <f t="shared" si="1"/>
        <v/>
      </c>
      <c r="G24" s="61" t="str">
        <f t="shared" si="2"/>
        <v/>
      </c>
      <c r="H24" s="17"/>
    </row>
    <row r="25" spans="1:9" x14ac:dyDescent="0.25">
      <c r="A25" s="63"/>
      <c r="B25" s="57"/>
      <c r="C25" s="58" t="str">
        <f t="shared" si="0"/>
        <v/>
      </c>
      <c r="D25" s="28"/>
      <c r="E25" s="57"/>
      <c r="F25" s="24" t="str">
        <f t="shared" si="1"/>
        <v/>
      </c>
      <c r="G25" s="61" t="str">
        <f t="shared" si="2"/>
        <v/>
      </c>
      <c r="H25" s="17"/>
    </row>
    <row r="26" spans="1:9" x14ac:dyDescent="0.25">
      <c r="A26" s="63"/>
      <c r="B26" s="57"/>
      <c r="C26" s="58" t="str">
        <f t="shared" si="0"/>
        <v/>
      </c>
      <c r="D26" s="28"/>
      <c r="E26" s="57"/>
      <c r="F26" s="24" t="str">
        <f t="shared" si="1"/>
        <v/>
      </c>
      <c r="G26" s="61" t="str">
        <f t="shared" si="2"/>
        <v/>
      </c>
      <c r="H26" s="17"/>
    </row>
    <row r="27" spans="1:9" x14ac:dyDescent="0.25">
      <c r="A27" s="63"/>
      <c r="B27" s="57"/>
      <c r="C27" s="58" t="str">
        <f t="shared" si="0"/>
        <v/>
      </c>
      <c r="D27" s="28"/>
      <c r="E27" s="57"/>
      <c r="F27" s="24" t="str">
        <f t="shared" si="1"/>
        <v/>
      </c>
      <c r="G27" s="61" t="str">
        <f t="shared" si="2"/>
        <v/>
      </c>
      <c r="H27" s="17"/>
    </row>
    <row r="28" spans="1:9" x14ac:dyDescent="0.25">
      <c r="A28" s="63"/>
      <c r="B28" s="57"/>
      <c r="C28" s="58" t="str">
        <f t="shared" si="0"/>
        <v/>
      </c>
      <c r="D28" s="28"/>
      <c r="E28" s="57"/>
      <c r="F28" s="24" t="str">
        <f t="shared" si="1"/>
        <v/>
      </c>
      <c r="G28" s="61" t="str">
        <f t="shared" si="2"/>
        <v/>
      </c>
      <c r="H28" s="17"/>
    </row>
    <row r="29" spans="1:9" x14ac:dyDescent="0.25">
      <c r="A29" s="63"/>
      <c r="B29" s="57"/>
      <c r="C29" s="58" t="str">
        <f t="shared" si="0"/>
        <v/>
      </c>
      <c r="D29" s="28"/>
      <c r="E29" s="57"/>
      <c r="F29" s="24" t="str">
        <f t="shared" si="1"/>
        <v/>
      </c>
      <c r="G29" s="61" t="str">
        <f t="shared" si="2"/>
        <v/>
      </c>
      <c r="H29" s="17"/>
    </row>
    <row r="30" spans="1:9" ht="15.75" thickBot="1" x14ac:dyDescent="0.3">
      <c r="A30" s="64"/>
      <c r="B30" s="59"/>
      <c r="C30" s="60" t="str">
        <f t="shared" si="0"/>
        <v/>
      </c>
      <c r="D30" s="36"/>
      <c r="E30" s="59"/>
      <c r="F30" s="37" t="str">
        <f t="shared" si="1"/>
        <v/>
      </c>
      <c r="G30" s="62" t="str">
        <f t="shared" si="2"/>
        <v/>
      </c>
      <c r="H30" s="17"/>
    </row>
    <row r="31" spans="1:9" ht="15.75" thickTop="1" x14ac:dyDescent="0.25">
      <c r="C31" s="19"/>
      <c r="H31" s="17"/>
    </row>
  </sheetData>
  <sheetProtection sheet="1" objects="1" scenarios="1" formatColumns="0"/>
  <protectedRanges>
    <protectedRange sqref="B3 D5 A21:B30 D21:E30 D20:E20 A20:B20 D9:E19 A9:B19" name="Range1"/>
  </protectedRanges>
  <mergeCells count="1">
    <mergeCell ref="A7:G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49"/>
  <sheetViews>
    <sheetView workbookViewId="0">
      <selection activeCell="B5" sqref="B5"/>
    </sheetView>
  </sheetViews>
  <sheetFormatPr defaultColWidth="8.85546875" defaultRowHeight="15" x14ac:dyDescent="0.25"/>
  <cols>
    <col min="1" max="1" width="42.85546875" style="16" customWidth="1"/>
    <col min="2" max="2" width="13.7109375" style="16" customWidth="1"/>
    <col min="3" max="3" width="12.7109375" style="16" customWidth="1"/>
    <col min="4" max="16384" width="8.85546875" style="16"/>
  </cols>
  <sheetData>
    <row r="1" spans="1:3" ht="30" customHeight="1" x14ac:dyDescent="0.3">
      <c r="A1" s="22" t="str">
        <f>"Enterprise Budget for a " &amp; 'Capital Costs'!B3 &amp; " Acre Vineyard"</f>
        <v>Enterprise Budget for a 10 Acre Vineyard</v>
      </c>
    </row>
    <row r="2" spans="1:3" ht="26.25" x14ac:dyDescent="0.25">
      <c r="A2" s="31"/>
      <c r="B2" s="46" t="s">
        <v>46</v>
      </c>
      <c r="C2" s="47" t="s">
        <v>52</v>
      </c>
    </row>
    <row r="3" spans="1:3" x14ac:dyDescent="0.25">
      <c r="A3" s="39" t="s">
        <v>12</v>
      </c>
      <c r="B3" s="48"/>
      <c r="C3" s="49"/>
    </row>
    <row r="4" spans="1:3" x14ac:dyDescent="0.25">
      <c r="A4" s="34" t="s">
        <v>53</v>
      </c>
      <c r="B4" s="32">
        <v>30</v>
      </c>
      <c r="C4" s="50">
        <f>IF(B4&gt;0,B4/'Capital Costs'!$B$3,"")</f>
        <v>3</v>
      </c>
    </row>
    <row r="5" spans="1:3" s="55" customFormat="1" x14ac:dyDescent="0.25">
      <c r="A5" s="35" t="s">
        <v>57</v>
      </c>
      <c r="B5" s="53" t="s">
        <v>58</v>
      </c>
      <c r="C5" s="54"/>
    </row>
    <row r="6" spans="1:3" x14ac:dyDescent="0.25">
      <c r="A6" s="34" t="str">
        <f>"Average Price per " &amp;B5</f>
        <v>Average Price per MT</v>
      </c>
      <c r="B6" s="66">
        <v>2500</v>
      </c>
      <c r="C6" s="67"/>
    </row>
    <row r="7" spans="1:3" x14ac:dyDescent="0.25">
      <c r="A7" s="44" t="s">
        <v>10</v>
      </c>
      <c r="B7" s="67">
        <f>B4*B6</f>
        <v>75000</v>
      </c>
      <c r="C7" s="67">
        <f>IF(B7&gt;0,B7/'Capital Costs'!$B$3,"")</f>
        <v>7500</v>
      </c>
    </row>
    <row r="8" spans="1:3" x14ac:dyDescent="0.25">
      <c r="A8" s="43"/>
      <c r="B8" s="68"/>
      <c r="C8" s="69"/>
    </row>
    <row r="9" spans="1:3" x14ac:dyDescent="0.25">
      <c r="A9" s="45" t="s">
        <v>47</v>
      </c>
      <c r="B9" s="70"/>
      <c r="C9" s="71"/>
    </row>
    <row r="10" spans="1:3" x14ac:dyDescent="0.25">
      <c r="A10" s="34" t="s">
        <v>44</v>
      </c>
      <c r="B10" s="72"/>
      <c r="C10" s="73" t="str">
        <f>IF(B10&gt;0,B10/'Capital Costs'!$B$3,"")</f>
        <v/>
      </c>
    </row>
    <row r="11" spans="1:3" x14ac:dyDescent="0.25">
      <c r="A11" s="35" t="s">
        <v>1</v>
      </c>
      <c r="B11" s="74">
        <v>30000</v>
      </c>
      <c r="C11" s="75">
        <f>IF(B11&gt;0,B11/'Capital Costs'!$B$3,"")</f>
        <v>3000</v>
      </c>
    </row>
    <row r="12" spans="1:3" x14ac:dyDescent="0.25">
      <c r="A12" s="35" t="s">
        <v>2</v>
      </c>
      <c r="B12" s="74">
        <v>8000</v>
      </c>
      <c r="C12" s="75">
        <f>IF(B12&gt;0,B12/'Capital Costs'!$B$3,"")</f>
        <v>800</v>
      </c>
    </row>
    <row r="13" spans="1:3" x14ac:dyDescent="0.25">
      <c r="A13" s="35" t="s">
        <v>3</v>
      </c>
      <c r="B13" s="66">
        <v>2000</v>
      </c>
      <c r="C13" s="75">
        <f>IF(B13&gt;0,B13/'Capital Costs'!$B$3,"")</f>
        <v>200</v>
      </c>
    </row>
    <row r="14" spans="1:3" x14ac:dyDescent="0.25">
      <c r="A14" s="34" t="s">
        <v>4</v>
      </c>
      <c r="B14" s="74">
        <v>480</v>
      </c>
      <c r="C14" s="75">
        <f>IF(B14&gt;0,B14/'Capital Costs'!$B$3,"")</f>
        <v>48</v>
      </c>
    </row>
    <row r="15" spans="1:3" x14ac:dyDescent="0.25">
      <c r="A15" s="34" t="s">
        <v>5</v>
      </c>
      <c r="B15" s="66">
        <v>200</v>
      </c>
      <c r="C15" s="75">
        <f>IF(B15&gt;0,B15/'Capital Costs'!$B$3,"")</f>
        <v>20</v>
      </c>
    </row>
    <row r="16" spans="1:3" x14ac:dyDescent="0.25">
      <c r="A16" s="34" t="s">
        <v>6</v>
      </c>
      <c r="B16" s="74">
        <v>3000</v>
      </c>
      <c r="C16" s="75">
        <f>IF(B16&gt;0,B16/'Capital Costs'!$B$3,"")</f>
        <v>300</v>
      </c>
    </row>
    <row r="17" spans="1:5" x14ac:dyDescent="0.25">
      <c r="A17" s="34" t="s">
        <v>7</v>
      </c>
      <c r="B17" s="74">
        <v>1400</v>
      </c>
      <c r="C17" s="75">
        <f>IF(B17&gt;0,B17/'Capital Costs'!$B$3,"")</f>
        <v>140</v>
      </c>
    </row>
    <row r="18" spans="1:5" x14ac:dyDescent="0.25">
      <c r="A18" s="34" t="s">
        <v>8</v>
      </c>
      <c r="B18" s="66">
        <v>630</v>
      </c>
      <c r="C18" s="75">
        <f>IF(B18&gt;0,B18/'Capital Costs'!$B$3,"")</f>
        <v>63</v>
      </c>
    </row>
    <row r="19" spans="1:5" x14ac:dyDescent="0.25">
      <c r="A19" s="34" t="s">
        <v>9</v>
      </c>
      <c r="B19" s="74">
        <v>5000</v>
      </c>
      <c r="C19" s="75">
        <f>IF(B19&gt;0,B19/'Capital Costs'!$B$3,"")</f>
        <v>500</v>
      </c>
    </row>
    <row r="20" spans="1:5" x14ac:dyDescent="0.25">
      <c r="A20" s="34" t="s">
        <v>43</v>
      </c>
      <c r="B20" s="74">
        <v>2500</v>
      </c>
      <c r="C20" s="75">
        <f>IF(B20&gt;0,B20/'Capital Costs'!$B$3,"")</f>
        <v>250</v>
      </c>
    </row>
    <row r="21" spans="1:5" x14ac:dyDescent="0.25">
      <c r="A21" s="34" t="s">
        <v>45</v>
      </c>
      <c r="B21" s="74"/>
      <c r="C21" s="75" t="str">
        <f>IF(B21&gt;0,B21/'Capital Costs'!$B$3,"")</f>
        <v/>
      </c>
    </row>
    <row r="22" spans="1:5" x14ac:dyDescent="0.25">
      <c r="A22" s="65"/>
      <c r="B22" s="74"/>
      <c r="C22" s="75" t="str">
        <f>IF(B22&gt;0,B22/'Capital Costs'!$B$3,"")</f>
        <v/>
      </c>
    </row>
    <row r="23" spans="1:5" x14ac:dyDescent="0.25">
      <c r="A23" s="65"/>
      <c r="B23" s="66"/>
      <c r="C23" s="75" t="str">
        <f>IF(B23&gt;0,B23/'Capital Costs'!$B$3,"")</f>
        <v/>
      </c>
    </row>
    <row r="24" spans="1:5" x14ac:dyDescent="0.25">
      <c r="A24" s="65"/>
      <c r="B24" s="74"/>
      <c r="C24" s="75" t="str">
        <f>IF(B24&gt;0,B24/'Capital Costs'!$B$3,"")</f>
        <v/>
      </c>
    </row>
    <row r="25" spans="1:5" x14ac:dyDescent="0.25">
      <c r="A25" s="65"/>
      <c r="B25" s="74"/>
      <c r="C25" s="75" t="str">
        <f>IF(B25&gt;0,B25/'Capital Costs'!$B$3,"")</f>
        <v/>
      </c>
    </row>
    <row r="26" spans="1:5" x14ac:dyDescent="0.25">
      <c r="A26" s="65"/>
      <c r="B26" s="66"/>
      <c r="C26" s="75" t="str">
        <f>IF(B26&gt;0,B26/'Capital Costs'!$B$3,"")</f>
        <v/>
      </c>
    </row>
    <row r="27" spans="1:5" x14ac:dyDescent="0.25">
      <c r="A27" s="65"/>
      <c r="B27" s="74"/>
      <c r="C27" s="75" t="str">
        <f>IF(B27&gt;0,B27/'Capital Costs'!$B$3,"")</f>
        <v/>
      </c>
    </row>
    <row r="28" spans="1:5" x14ac:dyDescent="0.25">
      <c r="A28" s="65"/>
      <c r="B28" s="74"/>
      <c r="C28" s="75" t="str">
        <f>IF(B28&gt;0,B28/'Capital Costs'!$B$3,"")</f>
        <v/>
      </c>
      <c r="E28" s="21"/>
    </row>
    <row r="29" spans="1:5" x14ac:dyDescent="0.25">
      <c r="A29" s="65"/>
      <c r="B29" s="66"/>
      <c r="C29" s="75" t="str">
        <f>IF(B29&gt;0,B29/'Capital Costs'!$B$3,"")</f>
        <v/>
      </c>
    </row>
    <row r="30" spans="1:5" x14ac:dyDescent="0.25">
      <c r="A30" s="33" t="s">
        <v>49</v>
      </c>
      <c r="B30" s="67">
        <f>SUM(B11:B29)</f>
        <v>53210</v>
      </c>
      <c r="C30" s="67">
        <f>IF(B30&gt;0,B30/'Capital Costs'!$B$3,"")</f>
        <v>5321</v>
      </c>
    </row>
    <row r="31" spans="1:5" x14ac:dyDescent="0.25">
      <c r="A31" s="43"/>
      <c r="B31" s="94"/>
      <c r="C31" s="95"/>
    </row>
    <row r="32" spans="1:5" x14ac:dyDescent="0.25">
      <c r="A32" s="45" t="s">
        <v>48</v>
      </c>
      <c r="B32" s="70"/>
      <c r="C32" s="71"/>
    </row>
    <row r="33" spans="1:3" x14ac:dyDescent="0.25">
      <c r="A33" s="38" t="s">
        <v>50</v>
      </c>
      <c r="B33" s="76">
        <f>SUM('Capital Costs'!G9:G30)</f>
        <v>26491.997038848407</v>
      </c>
      <c r="C33" s="76">
        <f>IF(B33&gt;0,B33/'Capital Costs'!$B$3,"")</f>
        <v>2649.1997038848408</v>
      </c>
    </row>
    <row r="34" spans="1:3" x14ac:dyDescent="0.25">
      <c r="A34" s="43"/>
      <c r="B34" s="77"/>
      <c r="C34" s="78"/>
    </row>
    <row r="35" spans="1:3" x14ac:dyDescent="0.25">
      <c r="A35" s="33" t="s">
        <v>54</v>
      </c>
      <c r="B35" s="67">
        <f>B30+B33</f>
        <v>79701.997038848407</v>
      </c>
      <c r="C35" s="67">
        <f>IF(B35&gt;0,B35/'Capital Costs'!$B$3,"")</f>
        <v>7970.1997038848403</v>
      </c>
    </row>
    <row r="36" spans="1:3" x14ac:dyDescent="0.25">
      <c r="A36" s="40"/>
      <c r="B36" s="79"/>
      <c r="C36" s="80"/>
    </row>
    <row r="37" spans="1:3" x14ac:dyDescent="0.25">
      <c r="A37" s="45" t="s">
        <v>11</v>
      </c>
      <c r="B37" s="70"/>
      <c r="C37" s="71"/>
    </row>
    <row r="38" spans="1:3" x14ac:dyDescent="0.25">
      <c r="A38" s="44" t="s">
        <v>55</v>
      </c>
      <c r="B38" s="81">
        <f>B7-B30</f>
        <v>21790</v>
      </c>
      <c r="C38" s="81">
        <f>C7-C30</f>
        <v>2179</v>
      </c>
    </row>
    <row r="39" spans="1:3" x14ac:dyDescent="0.25">
      <c r="A39" s="44" t="s">
        <v>56</v>
      </c>
      <c r="B39" s="82">
        <f>B7-B35</f>
        <v>-4701.9970388484071</v>
      </c>
      <c r="C39" s="82">
        <f>C7-C35</f>
        <v>-470.19970388484035</v>
      </c>
    </row>
    <row r="40" spans="1:3" x14ac:dyDescent="0.25">
      <c r="A40" s="42"/>
      <c r="B40" s="23"/>
      <c r="C40" s="41"/>
    </row>
    <row r="41" spans="1:3" ht="27" customHeight="1" x14ac:dyDescent="0.25">
      <c r="A41" s="51" t="str">
        <f>"Yield  " &amp; "(" &amp; B5 &amp; "/acre)"</f>
        <v>Yield  (MT/acre)</v>
      </c>
      <c r="B41" s="92" t="str">
        <f>"Breakeven Price by Yield " &amp; "($/" &amp; B5 &amp; ")"</f>
        <v>Breakeven Price by Yield ($/MT)</v>
      </c>
      <c r="C41" s="93"/>
    </row>
    <row r="42" spans="1:3" x14ac:dyDescent="0.25">
      <c r="A42" s="56">
        <v>2.75</v>
      </c>
      <c r="B42" s="99">
        <f>$C$35/A42</f>
        <v>2898.2544377763056</v>
      </c>
      <c r="C42" s="100"/>
    </row>
    <row r="43" spans="1:3" x14ac:dyDescent="0.25">
      <c r="A43" s="34">
        <f>C4</f>
        <v>3</v>
      </c>
      <c r="B43" s="99">
        <f>$C$35/A43</f>
        <v>2656.7332346282801</v>
      </c>
      <c r="C43" s="100"/>
    </row>
    <row r="44" spans="1:3" x14ac:dyDescent="0.25">
      <c r="A44" s="56">
        <v>3.25</v>
      </c>
      <c r="B44" s="99">
        <f>$C$35/A44</f>
        <v>2452.3691396568738</v>
      </c>
      <c r="C44" s="100"/>
    </row>
    <row r="45" spans="1:3" x14ac:dyDescent="0.25">
      <c r="A45" s="96"/>
      <c r="B45" s="97"/>
      <c r="C45" s="98"/>
    </row>
    <row r="46" spans="1:3" ht="28.9" customHeight="1" x14ac:dyDescent="0.25">
      <c r="A46" s="51" t="str">
        <f>"Price " &amp; "($/" &amp; B5 &amp; ")"</f>
        <v>Price ($/MT)</v>
      </c>
      <c r="B46" s="92" t="str">
        <f>"Breakeven Yield by Price " &amp; "(" &amp; B5 &amp; "/acre)"</f>
        <v>Breakeven Yield by Price (MT/acre)</v>
      </c>
      <c r="C46" s="93"/>
    </row>
    <row r="47" spans="1:3" x14ac:dyDescent="0.25">
      <c r="A47" s="56">
        <v>2000</v>
      </c>
      <c r="B47" s="90">
        <f>$C$35/A47</f>
        <v>3.9850998519424201</v>
      </c>
      <c r="C47" s="91"/>
    </row>
    <row r="48" spans="1:3" x14ac:dyDescent="0.25">
      <c r="A48" s="52">
        <f>B6</f>
        <v>2500</v>
      </c>
      <c r="B48" s="90">
        <f>$C$35/A48</f>
        <v>3.1880798815539362</v>
      </c>
      <c r="C48" s="91"/>
    </row>
    <row r="49" spans="1:3" x14ac:dyDescent="0.25">
      <c r="A49" s="56">
        <v>3000</v>
      </c>
      <c r="B49" s="90">
        <f>$C$35/A49</f>
        <v>2.6567332346282799</v>
      </c>
      <c r="C49" s="91"/>
    </row>
  </sheetData>
  <sheetProtection sheet="1" objects="1" scenarios="1" formatColumns="0"/>
  <protectedRanges>
    <protectedRange sqref="B4:B6 B11:B29 A22:A29 A42 A44 A47 A49" name="Range1"/>
  </protectedRanges>
  <mergeCells count="10">
    <mergeCell ref="B48:C48"/>
    <mergeCell ref="B49:C49"/>
    <mergeCell ref="B41:C41"/>
    <mergeCell ref="B46:C46"/>
    <mergeCell ref="B31:C31"/>
    <mergeCell ref="A45:C45"/>
    <mergeCell ref="B42:C42"/>
    <mergeCell ref="B43:C43"/>
    <mergeCell ref="B44:C44"/>
    <mergeCell ref="B47:C47"/>
  </mergeCells>
  <pageMargins left="0.7" right="0.7" top="0.75" bottom="0.75" header="0.3" footer="0.3"/>
  <pageSetup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Capital Costs</vt:lpstr>
      <vt:lpstr>Budget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2016-08-15T12:22:11Z</dcterms:modified>
</cp:coreProperties>
</file>