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harts/chart1.xml" ContentType="application/vnd.openxmlformats-officedocument.drawingml.chart+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drawings/drawing9.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24226"/>
  <mc:AlternateContent xmlns:mc="http://schemas.openxmlformats.org/markup-compatibility/2006">
    <mc:Choice Requires="x15">
      <x15ac:absPath xmlns:x15ac="http://schemas.microsoft.com/office/spreadsheetml/2010/11/ac" url="E:\NSDOE Data Package\02.23 Package\Economic Model\"/>
    </mc:Choice>
  </mc:AlternateContent>
  <xr:revisionPtr revIDLastSave="0" documentId="13_ncr:1_{81723F05-0F10-4FA5-BB44-F9BC81861BA2}" xr6:coauthVersionLast="47" xr6:coauthVersionMax="47" xr10:uidLastSave="{00000000-0000-0000-0000-000000000000}"/>
  <workbookProtection workbookAlgorithmName="SHA-512" workbookHashValue="pgTpvz/uiSQr9FnCT0z2TiO0sqOno2vPboM+uqjrkpasY009UimVkrq8i+SvcSc64dtKQ1AwOcllXNzWbODBfg==" workbookSaltValue="lDQRvUxbfPdMziHz2RCRbA==" workbookSpinCount="100000" lockStructure="1"/>
  <bookViews>
    <workbookView xWindow="18675" yWindow="1290" windowWidth="29220" windowHeight="17835" tabRatio="820" activeTab="1" xr2:uid="{00000000-000D-0000-FFFF-FFFF00000000}"/>
  </bookViews>
  <sheets>
    <sheet name="Introduction" sheetId="34" r:id="rId1"/>
    <sheet name="Offshore Map" sheetId="33" r:id="rId2"/>
    <sheet name="Guide" sheetId="30" r:id="rId3"/>
    <sheet name="Devel Options" sheetId="32" r:id="rId4"/>
    <sheet name="Drill History" sheetId="35" r:id="rId5"/>
    <sheet name="FAQ" sheetId="36" r:id="rId6"/>
    <sheet name="Input" sheetId="2" r:id="rId7"/>
    <sheet name="CashFlow" sheetId="5" r:id="rId8"/>
    <sheet name="Lists" sheetId="27" state="hidden" r:id="rId9"/>
    <sheet name="Thresholds" sheetId="3" r:id="rId10"/>
    <sheet name="Sensitivities" sheetId="4" r:id="rId11"/>
    <sheet name="Sensitivity Ranges" sheetId="28" state="hidden" r:id="rId12"/>
    <sheet name="Government Take" sheetId="29" r:id="rId13"/>
    <sheet name="Price Charts" sheetId="31" r:id="rId14"/>
    <sheet name="Expl Overrides" sheetId="6" r:id="rId15"/>
    <sheet name="Deposit Recovery" sheetId="40" r:id="rId16"/>
    <sheet name="Devel Overrides" sheetId="39" r:id="rId17"/>
    <sheet name="Historic Costs" sheetId="37" r:id="rId18"/>
    <sheet name="Economic Assumptions" sheetId="20" r:id="rId19"/>
    <sheet name="Cost Assumptions" sheetId="19" r:id="rId20"/>
    <sheet name="Sched &amp; Prod Assumptions" sheetId="18" r:id="rId21"/>
    <sheet name="Exploration" sheetId="7" r:id="rId22"/>
    <sheet name="Development" sheetId="8" r:id="rId23"/>
    <sheet name="Operations" sheetId="11" r:id="rId24"/>
    <sheet name="Production" sheetId="9" r:id="rId25"/>
    <sheet name="Revenue" sheetId="10" r:id="rId26"/>
    <sheet name="Abandonment" sheetId="12" r:id="rId27"/>
    <sheet name="Royalty" sheetId="13" r:id="rId28"/>
    <sheet name="Federal Tax" sheetId="14" r:id="rId29"/>
    <sheet name="Provincial Tax" sheetId="15" r:id="rId30"/>
    <sheet name="Success Cash Flow" sheetId="16" r:id="rId31"/>
    <sheet name="Risked Cash Flow" sheetId="22" r:id="rId32"/>
    <sheet name="Selected Economics" sheetId="17" r:id="rId33"/>
    <sheet name="User1" sheetId="21" r:id="rId34"/>
    <sheet name="User2" sheetId="23" r:id="rId35"/>
    <sheet name="User3" sheetId="24" r:id="rId36"/>
    <sheet name="User4" sheetId="25" r:id="rId37"/>
    <sheet name="User5" sheetId="26" r:id="rId38"/>
  </sheets>
  <definedNames>
    <definedName name="Abandonment">Abandonment!$B$3</definedName>
    <definedName name="Aerial_Extent">Lists!$A$41:$A$43</definedName>
    <definedName name="capcostset">Lists!$A$17:$E$17</definedName>
    <definedName name="Cashflow">CashFlow!$B$3</definedName>
    <definedName name="Costs">'Cost Assumptions'!$C$4:$D$4</definedName>
    <definedName name="costset1">'Cost Assumptions'!$C$4:$L$4</definedName>
    <definedName name="current_year">Lists!$O$9</definedName>
    <definedName name="Deposit_Recovery">'Deposit Recovery'!$A$1</definedName>
    <definedName name="Devel_Overrides">'Devel Overrides'!$B$1</definedName>
    <definedName name="Devellist">OFFSET(Lists!$A$28,0,0,COUNTA(Lists!$A$28:$A$31)-COUNTIF(Lists!$A$28:$A$31,""))</definedName>
    <definedName name="Development">Development!$B$3</definedName>
    <definedName name="Developments">'Devel Options'!$A$3</definedName>
    <definedName name="Direct_Pipeline_Tie_in">Lists!$Q$34</definedName>
    <definedName name="Discountto">Lists!$A$55:$A$57</definedName>
    <definedName name="DiscType">Lists!$A$5:$A$6</definedName>
    <definedName name="drill_centres">'Sched &amp; Prod Assumptions'!$A$38:$B$43</definedName>
    <definedName name="Economics">'Economic Assumptions'!$B$8</definedName>
    <definedName name="Expl_Overrides">'Expl Overrides'!$A$4</definedName>
    <definedName name="Exploration">Exploration!$C$3</definedName>
    <definedName name="Explore">Exploration!$C$3</definedName>
    <definedName name="FacilityType">Lists!$A$74:$A$77</definedName>
    <definedName name="Federal_Tax">'Federal Tax'!$B$10</definedName>
    <definedName name="Fixed_Platform">Lists!$O$34</definedName>
    <definedName name="FPSU">Lists!$O$36</definedName>
    <definedName name="Government_Take">'Government Take'!$A$3</definedName>
    <definedName name="Guide">Guide!$B$1</definedName>
    <definedName name="Historic_Costs">'Historic Costs'!$A$1</definedName>
    <definedName name="Infralist">OFFSET(Lists!$A$23,0,0,COUNTA(Lists!$A$23:$A$25)-COUNTIF(Lists!$A$23:$A$25,""))</definedName>
    <definedName name="Input">Input!$A$1</definedName>
    <definedName name="Interest">Royalty!#REF!</definedName>
    <definedName name="Jack_up">Lists!$O$35</definedName>
    <definedName name="LossRec">Royalty!$AL$4</definedName>
    <definedName name="Manual_override">Lists!$A$37:$A$38</definedName>
    <definedName name="monthtable">Lists!$A$96:$A$107</definedName>
    <definedName name="noteco">Abandonment!$C$4</definedName>
    <definedName name="OnPlant">OFFSET(Lists!$O$18,0,0,COUNTA(Lists!$O$18:$O$19)-COUNTIF(Lists!$O$18:$O$19,""))</definedName>
    <definedName name="Operations">Operations!$B$3</definedName>
    <definedName name="Override" localSheetId="16">'Devel Overrides'!#REF!</definedName>
    <definedName name="Override">'Expl Overrides'!$B$3</definedName>
    <definedName name="pressure">Lists!$A$88:$A$90</definedName>
    <definedName name="Price_Charts">'Price Charts'!$A$1</definedName>
    <definedName name="_xlnm.Print_Area" localSheetId="26">Abandonment!$A$1:$L$55</definedName>
    <definedName name="_xlnm.Print_Area" localSheetId="7">CashFlow!$A$1:$AZ$35</definedName>
    <definedName name="_xlnm.Print_Area" localSheetId="19">'Cost Assumptions'!$A$1:$O$156</definedName>
    <definedName name="_xlnm.Print_Area" localSheetId="3">'Devel Options'!$A$1:$N$93</definedName>
    <definedName name="_xlnm.Print_Area" localSheetId="16">'Devel Overrides'!$A$1:$R$86</definedName>
    <definedName name="_xlnm.Print_Area" localSheetId="4">'Drill History'!$A$1:$S$6</definedName>
    <definedName name="_xlnm.Print_Area" localSheetId="18">'Economic Assumptions'!$A$1:$AX$65</definedName>
    <definedName name="_xlnm.Print_Area" localSheetId="14">'Expl Overrides'!$A$1:$P$38</definedName>
    <definedName name="_xlnm.Print_Area" localSheetId="28">'Federal Tax'!$A$1:$X$50</definedName>
    <definedName name="_xlnm.Print_Area" localSheetId="12">'Government Take'!$A$1:$P$34</definedName>
    <definedName name="_xlnm.Print_Area" localSheetId="2">Guide!$A$1:$F$56</definedName>
    <definedName name="_xlnm.Print_Area" localSheetId="6">Input!$A$1:$V$38</definedName>
    <definedName name="_xlnm.Print_Area" localSheetId="0">Introduction!$A$9:$AB$51</definedName>
    <definedName name="_xlnm.Print_Area" localSheetId="1">'Offshore Map'!$A$1:$W$51</definedName>
    <definedName name="_xlnm.Print_Area" localSheetId="23">Operations!$A$1:$U$58</definedName>
    <definedName name="_xlnm.Print_Area" localSheetId="13">'Price Charts'!$A$1:$AB$79</definedName>
    <definedName name="_xlnm.Print_Area" localSheetId="24">Production!$A$1:$AO$70</definedName>
    <definedName name="_xlnm.Print_Area" localSheetId="31">'Risked Cash Flow'!$A$1:$Q$50</definedName>
    <definedName name="_xlnm.Print_Area" localSheetId="27">Royalty!$A$1:$AV$52</definedName>
    <definedName name="_xlnm.Print_Area" localSheetId="20">'Sched &amp; Prod Assumptions'!$A$1:$J$100</definedName>
    <definedName name="_xlnm.Print_Area" localSheetId="32">'Selected Economics'!$A$1:$L$51</definedName>
    <definedName name="_xlnm.Print_Area" localSheetId="10">Sensitivities!$A$1:$U$43</definedName>
    <definedName name="_xlnm.Print_Area" localSheetId="30">'Success Cash Flow'!$A$1:$U$50</definedName>
    <definedName name="_xlnm.Print_Area" localSheetId="9">Thresholds!$A$1:$P$39</definedName>
    <definedName name="prod_year">Production!$B$3</definedName>
    <definedName name="Product">Lists!$A$60:$A$61</definedName>
    <definedName name="Production">Production!$A$3</definedName>
    <definedName name="Provincial_Tax">'Provincial Tax'!$B$10</definedName>
    <definedName name="PurchaseLease">Lists!$A$33:$A$34</definedName>
    <definedName name="Rented_FPSU">Lists!$O$38</definedName>
    <definedName name="Rescomp">Lists!$A$46:$A$48</definedName>
    <definedName name="Revenue">Revenue!$B$9</definedName>
    <definedName name="Risked_Cash">'Risked Cash Flow'!$B$10</definedName>
    <definedName name="Royalty">Royalty!$B$10</definedName>
    <definedName name="Satellite">Lists!$Q$33</definedName>
    <definedName name="scenarios">Lists!$A$20:$E$20</definedName>
    <definedName name="Schedule">'Sched &amp; Prod Assumptions'!$A$3</definedName>
    <definedName name="Selected_Economics">'Selected Economics'!$B$11</definedName>
    <definedName name="selected_scenario">Lists!$A$21:$E$21</definedName>
    <definedName name="Sensitivities">Sensitivities!$A$3</definedName>
    <definedName name="Shore">Lists!$Q$35</definedName>
    <definedName name="Shuttle_Tanker">Lists!$Q$36</definedName>
    <definedName name="Sour">Lists!$A$65</definedName>
    <definedName name="Stagelist">Lists!$A$9:$A$13</definedName>
    <definedName name="stageno">Thresholds!$F$1</definedName>
    <definedName name="Subsea">Lists!$O$33</definedName>
    <definedName name="Success_Cash">'Success Cash Flow'!$B$10</definedName>
    <definedName name="Sweet">Lists!$A$64</definedName>
    <definedName name="SweetSour">Lists!$A$64:$A$65</definedName>
    <definedName name="Tethered___Semi">Lists!$O$37</definedName>
    <definedName name="Thresholds">Thresholds!$A$7</definedName>
    <definedName name="User_Area">User1!#REF!</definedName>
    <definedName name="YesNo">Lists!$A$51:$A$52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63" i="18" l="1"/>
  <c r="A64" i="18"/>
  <c r="A65" i="18"/>
  <c r="O9" i="27"/>
  <c r="I5" i="20" s="1"/>
  <c r="B1" i="16"/>
  <c r="C14" i="2"/>
  <c r="O10" i="27"/>
  <c r="O11" i="27" s="1"/>
  <c r="AE50" i="22"/>
  <c r="S5" i="20" l="1"/>
  <c r="AC5" i="20"/>
  <c r="AW5" i="20"/>
  <c r="AM5" i="20"/>
  <c r="AX5" i="20"/>
  <c r="AN5" i="20"/>
  <c r="AD5" i="20"/>
  <c r="T5" i="20"/>
  <c r="J5" i="20"/>
  <c r="D5" i="3"/>
  <c r="K9" i="2"/>
  <c r="D32" i="2"/>
  <c r="V23" i="27" l="1"/>
  <c r="AB18" i="20" l="1"/>
  <c r="AL18" i="20"/>
  <c r="H18" i="20"/>
  <c r="C7" i="5"/>
  <c r="B11" i="3" s="1"/>
  <c r="B15" i="4" s="1"/>
  <c r="B7" i="5"/>
  <c r="A11" i="3" s="1"/>
  <c r="A15" i="4" s="1"/>
  <c r="C3" i="5"/>
  <c r="B3" i="29" s="1"/>
  <c r="H19" i="20" l="1"/>
  <c r="H20" i="20" s="1"/>
  <c r="H21" i="20" s="1"/>
  <c r="H22" i="20" s="1"/>
  <c r="H23" i="20" s="1"/>
  <c r="H24" i="20" s="1"/>
  <c r="H25" i="20" s="1"/>
  <c r="H26" i="20" s="1"/>
  <c r="H27" i="20" s="1"/>
  <c r="H28" i="20" s="1"/>
  <c r="H29" i="20" s="1"/>
  <c r="H30" i="20" s="1"/>
  <c r="H31" i="20" s="1"/>
  <c r="H32" i="20" s="1"/>
  <c r="H33" i="20" s="1"/>
  <c r="H34" i="20" s="1"/>
  <c r="H35" i="20" s="1"/>
  <c r="H36" i="20" s="1"/>
  <c r="H37" i="20" s="1"/>
  <c r="H38" i="20" s="1"/>
  <c r="H39" i="20" s="1"/>
  <c r="H40" i="20" s="1"/>
  <c r="H41" i="20" s="1"/>
  <c r="H42" i="20" s="1"/>
  <c r="H43" i="20" s="1"/>
  <c r="H44" i="20" s="1"/>
  <c r="H45" i="20" s="1"/>
  <c r="H46" i="20" s="1"/>
  <c r="H47" i="20" s="1"/>
  <c r="H48" i="20" s="1"/>
  <c r="H49" i="20" s="1"/>
  <c r="H50" i="20" s="1"/>
  <c r="H51" i="20" s="1"/>
  <c r="H52" i="20" s="1"/>
  <c r="H53" i="20" s="1"/>
  <c r="H54" i="20" s="1"/>
  <c r="H55" i="20" s="1"/>
  <c r="H56" i="20" s="1"/>
  <c r="H57" i="20" s="1"/>
  <c r="H58" i="20" s="1"/>
  <c r="H59" i="20" s="1"/>
  <c r="H60" i="20" s="1"/>
  <c r="H61" i="20" s="1"/>
  <c r="H62" i="20" s="1"/>
  <c r="H63" i="20" s="1"/>
  <c r="H64" i="20" s="1"/>
  <c r="H65" i="20" s="1"/>
  <c r="H66" i="20" s="1"/>
  <c r="H67" i="20" s="1"/>
  <c r="H68" i="20" s="1"/>
  <c r="H69" i="20" s="1"/>
  <c r="H70" i="20" s="1"/>
  <c r="H71" i="20" s="1"/>
  <c r="H72" i="20" s="1"/>
  <c r="H73" i="20" s="1"/>
  <c r="H74" i="20" s="1"/>
  <c r="H75" i="20" s="1"/>
  <c r="H76" i="20" s="1"/>
  <c r="H77" i="20" s="1"/>
  <c r="H78" i="20" s="1"/>
  <c r="H79" i="20" s="1"/>
  <c r="H80" i="20" s="1"/>
  <c r="H81" i="20" s="1"/>
  <c r="H82" i="20" s="1"/>
  <c r="H83" i="20" s="1"/>
  <c r="H84" i="20" s="1"/>
  <c r="H85" i="20" s="1"/>
  <c r="H17" i="20"/>
  <c r="H16" i="20" s="1"/>
  <c r="H15" i="20" s="1"/>
  <c r="H14" i="20" s="1"/>
  <c r="H13" i="20" s="1"/>
  <c r="H12" i="20" s="1"/>
  <c r="AL19" i="20"/>
  <c r="AL20" i="20" s="1"/>
  <c r="AL21" i="20" s="1"/>
  <c r="AL22" i="20" s="1"/>
  <c r="AL23" i="20" s="1"/>
  <c r="AL24" i="20" s="1"/>
  <c r="AL25" i="20" s="1"/>
  <c r="AL26" i="20" s="1"/>
  <c r="AL27" i="20" s="1"/>
  <c r="AL28" i="20" s="1"/>
  <c r="AL29" i="20" s="1"/>
  <c r="AL30" i="20" s="1"/>
  <c r="AL31" i="20" s="1"/>
  <c r="AL32" i="20" s="1"/>
  <c r="AL33" i="20" s="1"/>
  <c r="AL34" i="20" s="1"/>
  <c r="AL35" i="20" s="1"/>
  <c r="AL36" i="20" s="1"/>
  <c r="AL37" i="20" s="1"/>
  <c r="AL38" i="20" s="1"/>
  <c r="AL39" i="20" s="1"/>
  <c r="AL40" i="20" s="1"/>
  <c r="AL41" i="20" s="1"/>
  <c r="AL42" i="20" s="1"/>
  <c r="AL43" i="20" s="1"/>
  <c r="AL44" i="20" s="1"/>
  <c r="AL45" i="20" s="1"/>
  <c r="AL46" i="20" s="1"/>
  <c r="AL47" i="20" s="1"/>
  <c r="AL48" i="20" s="1"/>
  <c r="AL49" i="20" s="1"/>
  <c r="AL50" i="20" s="1"/>
  <c r="AL51" i="20" s="1"/>
  <c r="AL52" i="20" s="1"/>
  <c r="AL53" i="20" s="1"/>
  <c r="AL54" i="20" s="1"/>
  <c r="AL55" i="20" s="1"/>
  <c r="AL56" i="20" s="1"/>
  <c r="AL57" i="20" s="1"/>
  <c r="AL58" i="20" s="1"/>
  <c r="AL59" i="20" s="1"/>
  <c r="AL60" i="20" s="1"/>
  <c r="AL61" i="20" s="1"/>
  <c r="AL62" i="20" s="1"/>
  <c r="AL63" i="20" s="1"/>
  <c r="AL64" i="20" s="1"/>
  <c r="AL65" i="20" s="1"/>
  <c r="AL66" i="20" s="1"/>
  <c r="AL67" i="20" s="1"/>
  <c r="AL68" i="20" s="1"/>
  <c r="AL69" i="20" s="1"/>
  <c r="AL70" i="20" s="1"/>
  <c r="AL71" i="20" s="1"/>
  <c r="AL72" i="20" s="1"/>
  <c r="AL73" i="20" s="1"/>
  <c r="AL74" i="20" s="1"/>
  <c r="AL75" i="20" s="1"/>
  <c r="AL76" i="20" s="1"/>
  <c r="AL77" i="20" s="1"/>
  <c r="AL78" i="20" s="1"/>
  <c r="AL79" i="20" s="1"/>
  <c r="AL80" i="20" s="1"/>
  <c r="AL81" i="20" s="1"/>
  <c r="AL82" i="20" s="1"/>
  <c r="AL83" i="20" s="1"/>
  <c r="AL84" i="20" s="1"/>
  <c r="AL85" i="20" s="1"/>
  <c r="AL17" i="20"/>
  <c r="AL16" i="20" s="1"/>
  <c r="AL15" i="20" s="1"/>
  <c r="AL14" i="20" s="1"/>
  <c r="AL13" i="20" s="1"/>
  <c r="AL12" i="20" s="1"/>
  <c r="AB19" i="20"/>
  <c r="AB20" i="20" s="1"/>
  <c r="AB21" i="20" s="1"/>
  <c r="AB22" i="20" s="1"/>
  <c r="AB23" i="20" s="1"/>
  <c r="AB24" i="20" s="1"/>
  <c r="AB25" i="20" s="1"/>
  <c r="AB26" i="20" s="1"/>
  <c r="AB27" i="20" s="1"/>
  <c r="AB28" i="20" s="1"/>
  <c r="AB29" i="20" s="1"/>
  <c r="AB30" i="20" s="1"/>
  <c r="AB31" i="20" s="1"/>
  <c r="AB32" i="20" s="1"/>
  <c r="AB33" i="20" s="1"/>
  <c r="AB34" i="20" s="1"/>
  <c r="AB35" i="20" s="1"/>
  <c r="AB36" i="20" s="1"/>
  <c r="AB37" i="20" s="1"/>
  <c r="AB38" i="20" s="1"/>
  <c r="AB39" i="20" s="1"/>
  <c r="AB40" i="20" s="1"/>
  <c r="AB41" i="20" s="1"/>
  <c r="AB42" i="20" s="1"/>
  <c r="AB43" i="20" s="1"/>
  <c r="AB44" i="20" s="1"/>
  <c r="AB45" i="20" s="1"/>
  <c r="AB46" i="20" s="1"/>
  <c r="AB47" i="20" s="1"/>
  <c r="AB48" i="20" s="1"/>
  <c r="AB49" i="20" s="1"/>
  <c r="AB50" i="20" s="1"/>
  <c r="AB51" i="20" s="1"/>
  <c r="AB52" i="20" s="1"/>
  <c r="AB53" i="20" s="1"/>
  <c r="AB54" i="20" s="1"/>
  <c r="AB55" i="20" s="1"/>
  <c r="AB56" i="20" s="1"/>
  <c r="AB57" i="20" s="1"/>
  <c r="AB58" i="20" s="1"/>
  <c r="AB59" i="20" s="1"/>
  <c r="AB60" i="20" s="1"/>
  <c r="AB61" i="20" s="1"/>
  <c r="AB62" i="20" s="1"/>
  <c r="AB63" i="20" s="1"/>
  <c r="AB64" i="20" s="1"/>
  <c r="AB65" i="20" s="1"/>
  <c r="AB66" i="20" s="1"/>
  <c r="AB67" i="20" s="1"/>
  <c r="AB68" i="20" s="1"/>
  <c r="AB69" i="20" s="1"/>
  <c r="AB70" i="20" s="1"/>
  <c r="AB71" i="20" s="1"/>
  <c r="AB72" i="20" s="1"/>
  <c r="AB73" i="20" s="1"/>
  <c r="AB74" i="20" s="1"/>
  <c r="AB75" i="20" s="1"/>
  <c r="AB76" i="20" s="1"/>
  <c r="AB77" i="20" s="1"/>
  <c r="AB78" i="20" s="1"/>
  <c r="AB79" i="20" s="1"/>
  <c r="AB80" i="20" s="1"/>
  <c r="AB81" i="20" s="1"/>
  <c r="AB82" i="20" s="1"/>
  <c r="AB83" i="20" s="1"/>
  <c r="AB84" i="20" s="1"/>
  <c r="AB85" i="20" s="1"/>
  <c r="AB17" i="20"/>
  <c r="AB16" i="20" s="1"/>
  <c r="AB15" i="20" s="1"/>
  <c r="AB14" i="20" s="1"/>
  <c r="AB13" i="20" s="1"/>
  <c r="AB12" i="20" s="1"/>
  <c r="B7" i="3"/>
  <c r="P53" i="27" l="1"/>
  <c r="G19" i="16"/>
  <c r="I14" i="2" l="1"/>
  <c r="I1" i="2" s="1"/>
  <c r="B85" i="20"/>
  <c r="B84" i="20"/>
  <c r="B83" i="20"/>
  <c r="B82" i="20"/>
  <c r="B81" i="20"/>
  <c r="B80" i="20"/>
  <c r="B79" i="20"/>
  <c r="B78" i="20"/>
  <c r="B77" i="20"/>
  <c r="B76" i="20"/>
  <c r="B75" i="20"/>
  <c r="B74" i="20"/>
  <c r="B73" i="20"/>
  <c r="B72" i="20"/>
  <c r="B71" i="20"/>
  <c r="B70" i="20"/>
  <c r="B69" i="20"/>
  <c r="B68" i="20"/>
  <c r="B67" i="20"/>
  <c r="B66" i="20"/>
  <c r="B65" i="20"/>
  <c r="B64" i="20"/>
  <c r="B63" i="20"/>
  <c r="B62" i="20"/>
  <c r="B61" i="20"/>
  <c r="B60" i="20"/>
  <c r="B59" i="20"/>
  <c r="B58" i="20"/>
  <c r="B57" i="20"/>
  <c r="B56" i="20"/>
  <c r="B55" i="20"/>
  <c r="B54" i="20"/>
  <c r="B53" i="20"/>
  <c r="B52" i="20"/>
  <c r="B51" i="20"/>
  <c r="B50" i="20"/>
  <c r="B49" i="20"/>
  <c r="B48" i="20"/>
  <c r="B47" i="20"/>
  <c r="B46" i="20"/>
  <c r="B45" i="20"/>
  <c r="B44" i="20"/>
  <c r="B43" i="20"/>
  <c r="B42" i="20"/>
  <c r="B41" i="20"/>
  <c r="B40" i="20"/>
  <c r="B39" i="20"/>
  <c r="B38" i="20"/>
  <c r="B37" i="20"/>
  <c r="B36" i="20"/>
  <c r="B35" i="20"/>
  <c r="B34" i="20"/>
  <c r="B33" i="20"/>
  <c r="B32" i="20"/>
  <c r="B31" i="20"/>
  <c r="B30" i="20"/>
  <c r="B29" i="20"/>
  <c r="B28" i="20"/>
  <c r="B27" i="20"/>
  <c r="B26" i="20"/>
  <c r="B25" i="20"/>
  <c r="B24" i="20"/>
  <c r="B23" i="20"/>
  <c r="B22" i="20"/>
  <c r="B21" i="20"/>
  <c r="B20" i="20"/>
  <c r="B19" i="20"/>
  <c r="B18" i="20"/>
  <c r="B17" i="20"/>
  <c r="B16" i="20"/>
  <c r="B15" i="20"/>
  <c r="B14" i="20"/>
  <c r="B13" i="20"/>
  <c r="B12" i="20"/>
  <c r="C18" i="20"/>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17" i="20"/>
  <c r="D18" i="20"/>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D73" i="20" s="1"/>
  <c r="D74" i="20" s="1"/>
  <c r="D75" i="20" s="1"/>
  <c r="D76" i="20" s="1"/>
  <c r="D77" i="20" s="1"/>
  <c r="D78" i="20" s="1"/>
  <c r="D79" i="20" s="1"/>
  <c r="D80" i="20" s="1"/>
  <c r="D81" i="20" s="1"/>
  <c r="D82" i="20" s="1"/>
  <c r="D83" i="20" s="1"/>
  <c r="D84" i="20" s="1"/>
  <c r="D85" i="20" s="1"/>
  <c r="D17" i="20"/>
  <c r="E18" i="20"/>
  <c r="E19" i="20" s="1"/>
  <c r="E20" i="20" s="1"/>
  <c r="E21" i="20" s="1"/>
  <c r="E22" i="20" s="1"/>
  <c r="E23" i="20" s="1"/>
  <c r="E24" i="20" s="1"/>
  <c r="E25" i="20" s="1"/>
  <c r="E26" i="20" s="1"/>
  <c r="E27" i="20" s="1"/>
  <c r="E28" i="20" s="1"/>
  <c r="E29" i="20" s="1"/>
  <c r="E30" i="20" s="1"/>
  <c r="E31" i="20" s="1"/>
  <c r="E32" i="20" s="1"/>
  <c r="E33" i="20" s="1"/>
  <c r="E34" i="20" s="1"/>
  <c r="E35" i="20" s="1"/>
  <c r="E36" i="20" s="1"/>
  <c r="E37" i="20" s="1"/>
  <c r="E38" i="20" s="1"/>
  <c r="E39" i="20" s="1"/>
  <c r="E40" i="20" s="1"/>
  <c r="E41" i="20" s="1"/>
  <c r="E42" i="20" s="1"/>
  <c r="E43" i="20" s="1"/>
  <c r="E44" i="20" s="1"/>
  <c r="E45" i="20" s="1"/>
  <c r="E46" i="20" s="1"/>
  <c r="E47" i="20" s="1"/>
  <c r="E48" i="20" s="1"/>
  <c r="E49" i="20" s="1"/>
  <c r="E50" i="20" s="1"/>
  <c r="E51" i="20" s="1"/>
  <c r="E52" i="20" s="1"/>
  <c r="E53" i="20" s="1"/>
  <c r="E54" i="20" s="1"/>
  <c r="E55" i="20" s="1"/>
  <c r="E56" i="20" s="1"/>
  <c r="E57" i="20" s="1"/>
  <c r="E58" i="20" s="1"/>
  <c r="E59" i="20" s="1"/>
  <c r="E60" i="20" s="1"/>
  <c r="E61" i="20" s="1"/>
  <c r="E62" i="20" s="1"/>
  <c r="E63" i="20" s="1"/>
  <c r="E64" i="20" s="1"/>
  <c r="E65" i="20" s="1"/>
  <c r="E66" i="20" s="1"/>
  <c r="E67" i="20" s="1"/>
  <c r="E68" i="20" s="1"/>
  <c r="E69" i="20" s="1"/>
  <c r="E70" i="20" s="1"/>
  <c r="E71" i="20" s="1"/>
  <c r="E72" i="20" s="1"/>
  <c r="E73" i="20" s="1"/>
  <c r="E74" i="20" s="1"/>
  <c r="E75" i="20" s="1"/>
  <c r="E76" i="20" s="1"/>
  <c r="E77" i="20" s="1"/>
  <c r="E78" i="20" s="1"/>
  <c r="E79" i="20" s="1"/>
  <c r="E80" i="20" s="1"/>
  <c r="E81" i="20" s="1"/>
  <c r="E82" i="20" s="1"/>
  <c r="E83" i="20" s="1"/>
  <c r="E84" i="20" s="1"/>
  <c r="E85" i="20" s="1"/>
  <c r="E17" i="20"/>
  <c r="E16" i="20"/>
  <c r="G19" i="20"/>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G61" i="20" s="1"/>
  <c r="G62" i="20" s="1"/>
  <c r="G63" i="20" s="1"/>
  <c r="G64" i="20" s="1"/>
  <c r="G65" i="20" s="1"/>
  <c r="G66" i="20" s="1"/>
  <c r="G67" i="20" s="1"/>
  <c r="G68" i="20" s="1"/>
  <c r="G69" i="20" s="1"/>
  <c r="G70" i="20" s="1"/>
  <c r="G71" i="20" s="1"/>
  <c r="G72" i="20" s="1"/>
  <c r="G73" i="20" s="1"/>
  <c r="G74" i="20" s="1"/>
  <c r="G75" i="20" s="1"/>
  <c r="G76" i="20" s="1"/>
  <c r="G77" i="20" s="1"/>
  <c r="G78" i="20" s="1"/>
  <c r="G79" i="20" s="1"/>
  <c r="G80" i="20" s="1"/>
  <c r="G81" i="20" s="1"/>
  <c r="G82" i="20" s="1"/>
  <c r="G83" i="20" s="1"/>
  <c r="G84" i="20" s="1"/>
  <c r="G85" i="20" s="1"/>
  <c r="M68" i="39"/>
  <c r="M67" i="39"/>
  <c r="M66" i="39"/>
  <c r="M65" i="39"/>
  <c r="M64" i="39"/>
  <c r="M63" i="39"/>
  <c r="M62" i="39"/>
  <c r="M61" i="39"/>
  <c r="M60" i="39"/>
  <c r="M59" i="39"/>
  <c r="M58" i="39"/>
  <c r="M57" i="39"/>
  <c r="M56" i="39"/>
  <c r="M55" i="39"/>
  <c r="M54" i="39"/>
  <c r="M53" i="39"/>
  <c r="M52" i="39"/>
  <c r="M51" i="39"/>
  <c r="M50" i="39"/>
  <c r="M49" i="39"/>
  <c r="M48" i="39"/>
  <c r="M47" i="39"/>
  <c r="M46" i="39"/>
  <c r="M45" i="39"/>
  <c r="M44" i="39"/>
  <c r="M43" i="39"/>
  <c r="M42" i="39"/>
  <c r="M41" i="39"/>
  <c r="M40" i="39"/>
  <c r="M39" i="39"/>
  <c r="M38" i="39"/>
  <c r="M37" i="39"/>
  <c r="K27" i="39"/>
  <c r="C80" i="8"/>
  <c r="C23" i="5" l="1"/>
  <c r="L9" i="20"/>
  <c r="M9" i="20"/>
  <c r="N9" i="20"/>
  <c r="H2" i="5"/>
  <c r="K2" i="5" s="1"/>
  <c r="C16" i="40"/>
  <c r="V17" i="40"/>
  <c r="V18" i="40"/>
  <c r="V19" i="40"/>
  <c r="V20" i="40"/>
  <c r="V21" i="40"/>
  <c r="V22" i="40"/>
  <c r="V23" i="40"/>
  <c r="D70" i="2"/>
  <c r="D31" i="2" s="1"/>
  <c r="D15" i="40"/>
  <c r="E6" i="2" l="1"/>
  <c r="I6" i="2"/>
  <c r="L6" i="2"/>
  <c r="E14" i="40" l="1"/>
  <c r="F14" i="40" s="1"/>
  <c r="J50" i="22"/>
  <c r="AF50" i="22"/>
  <c r="E15" i="40" l="1"/>
  <c r="I50" i="22"/>
  <c r="H50" i="22"/>
  <c r="F50" i="22"/>
  <c r="D4" i="17"/>
  <c r="D50" i="22"/>
  <c r="C50" i="22"/>
  <c r="B50" i="22"/>
  <c r="G14" i="40" l="1"/>
  <c r="F15" i="40"/>
  <c r="N15" i="20"/>
  <c r="M15" i="20"/>
  <c r="N14" i="20"/>
  <c r="M14" i="20"/>
  <c r="N13" i="20"/>
  <c r="M13" i="20"/>
  <c r="N12" i="20"/>
  <c r="M12" i="20"/>
  <c r="M4" i="20"/>
  <c r="Q85" i="20"/>
  <c r="Q84" i="20"/>
  <c r="Q83" i="20"/>
  <c r="Q82" i="20"/>
  <c r="Q81" i="20"/>
  <c r="Q80" i="20"/>
  <c r="Q79" i="20"/>
  <c r="Q78" i="20"/>
  <c r="Q77" i="20"/>
  <c r="Q76" i="20"/>
  <c r="Q75" i="20"/>
  <c r="Q74" i="20"/>
  <c r="Q73" i="20"/>
  <c r="Q72" i="20"/>
  <c r="Q71" i="20"/>
  <c r="Q70" i="20"/>
  <c r="Q69" i="20"/>
  <c r="Q68" i="20"/>
  <c r="Q67" i="20"/>
  <c r="Q66" i="20"/>
  <c r="Q65" i="20"/>
  <c r="Q64" i="20"/>
  <c r="Q63" i="20"/>
  <c r="Q62" i="20"/>
  <c r="Q61" i="20"/>
  <c r="Q60" i="20"/>
  <c r="Q59" i="20"/>
  <c r="Q58" i="20"/>
  <c r="Q57" i="20"/>
  <c r="Q56" i="20"/>
  <c r="Q55" i="20"/>
  <c r="Q54" i="20"/>
  <c r="Q53" i="20"/>
  <c r="Q52" i="20"/>
  <c r="Q51" i="20"/>
  <c r="Q50" i="20"/>
  <c r="Q49" i="20"/>
  <c r="Q48" i="20"/>
  <c r="Q47" i="20"/>
  <c r="Q46" i="20"/>
  <c r="Q45" i="20"/>
  <c r="Q44" i="20"/>
  <c r="Q43" i="20"/>
  <c r="Q42" i="20"/>
  <c r="Q41" i="20"/>
  <c r="Q40" i="20"/>
  <c r="Q39" i="20"/>
  <c r="Q38" i="20"/>
  <c r="Q37" i="20"/>
  <c r="Q36" i="20"/>
  <c r="Q35" i="20"/>
  <c r="Q34" i="20"/>
  <c r="Q33" i="20"/>
  <c r="Q32" i="20"/>
  <c r="Q31" i="20"/>
  <c r="Q30" i="20"/>
  <c r="Q29" i="20"/>
  <c r="Q28" i="20"/>
  <c r="Q27" i="20"/>
  <c r="Q26" i="20"/>
  <c r="Q25" i="20"/>
  <c r="Q24" i="20"/>
  <c r="Q23" i="20"/>
  <c r="Q22" i="20"/>
  <c r="Q21" i="20"/>
  <c r="Q20" i="20"/>
  <c r="Q19" i="20"/>
  <c r="Q18" i="20"/>
  <c r="Q17" i="20"/>
  <c r="Q16" i="20"/>
  <c r="Q15" i="20"/>
  <c r="Q14" i="20"/>
  <c r="Q13" i="20"/>
  <c r="P12" i="20"/>
  <c r="Q12" i="20" s="1"/>
  <c r="P23" i="20"/>
  <c r="P24" i="20" s="1"/>
  <c r="P25" i="20" s="1"/>
  <c r="P26" i="20" s="1"/>
  <c r="P27" i="20" s="1"/>
  <c r="P28" i="20" s="1"/>
  <c r="P29" i="20" s="1"/>
  <c r="P30" i="20" s="1"/>
  <c r="P31" i="20" s="1"/>
  <c r="P32" i="20" s="1"/>
  <c r="P33" i="20" s="1"/>
  <c r="P34" i="20" s="1"/>
  <c r="P35" i="20" s="1"/>
  <c r="P36" i="20" s="1"/>
  <c r="P37" i="20" s="1"/>
  <c r="P38" i="20" s="1"/>
  <c r="P39" i="20" s="1"/>
  <c r="P40" i="20" s="1"/>
  <c r="P41" i="20" s="1"/>
  <c r="P42" i="20" s="1"/>
  <c r="P43" i="20" s="1"/>
  <c r="P44" i="20" s="1"/>
  <c r="P45" i="20" s="1"/>
  <c r="P46" i="20" s="1"/>
  <c r="P47" i="20" s="1"/>
  <c r="P48" i="20" s="1"/>
  <c r="P49" i="20" s="1"/>
  <c r="P50" i="20" s="1"/>
  <c r="P51" i="20" s="1"/>
  <c r="P52" i="20" s="1"/>
  <c r="P53" i="20" s="1"/>
  <c r="P54" i="20" s="1"/>
  <c r="P55" i="20" s="1"/>
  <c r="P56" i="20" s="1"/>
  <c r="P57" i="20" s="1"/>
  <c r="P58" i="20" s="1"/>
  <c r="P59" i="20" s="1"/>
  <c r="P60" i="20" s="1"/>
  <c r="P61" i="20" s="1"/>
  <c r="P62" i="20" s="1"/>
  <c r="P63" i="20" s="1"/>
  <c r="P64" i="20" s="1"/>
  <c r="P65" i="20" s="1"/>
  <c r="P66" i="20" s="1"/>
  <c r="P67" i="20" s="1"/>
  <c r="P68" i="20" s="1"/>
  <c r="P69" i="20" s="1"/>
  <c r="P70" i="20" s="1"/>
  <c r="P71" i="20" s="1"/>
  <c r="P72" i="20" s="1"/>
  <c r="P73" i="20" s="1"/>
  <c r="P74" i="20" s="1"/>
  <c r="P75" i="20" s="1"/>
  <c r="P76" i="20" s="1"/>
  <c r="P77" i="20" s="1"/>
  <c r="P78" i="20" s="1"/>
  <c r="P79" i="20" s="1"/>
  <c r="P80" i="20" s="1"/>
  <c r="P81" i="20" s="1"/>
  <c r="P82" i="20" s="1"/>
  <c r="P83" i="20" s="1"/>
  <c r="P84" i="20" s="1"/>
  <c r="P85" i="20" s="1"/>
  <c r="P22" i="20"/>
  <c r="P18" i="20"/>
  <c r="P19" i="20" s="1"/>
  <c r="P20" i="20" s="1"/>
  <c r="P17" i="20"/>
  <c r="P16" i="20"/>
  <c r="P14" i="20"/>
  <c r="P13" i="20"/>
  <c r="G12" i="20"/>
  <c r="L14" i="20"/>
  <c r="V15" i="20"/>
  <c r="F16" i="20"/>
  <c r="F17" i="20" s="1"/>
  <c r="F15" i="20"/>
  <c r="M29" i="39"/>
  <c r="M36" i="39"/>
  <c r="M30" i="39"/>
  <c r="H10" i="39"/>
  <c r="G10" i="39"/>
  <c r="E27" i="39"/>
  <c r="F27" i="39"/>
  <c r="G27" i="39"/>
  <c r="H27" i="39"/>
  <c r="J27" i="39"/>
  <c r="Q27" i="39"/>
  <c r="B30" i="39"/>
  <c r="B31" i="39" s="1"/>
  <c r="B32" i="39" s="1"/>
  <c r="B33" i="39" s="1"/>
  <c r="B34" i="39" s="1"/>
  <c r="B35" i="39" s="1"/>
  <c r="B36" i="39" s="1"/>
  <c r="B37" i="39" s="1"/>
  <c r="B38" i="39" s="1"/>
  <c r="B39" i="39" s="1"/>
  <c r="B40" i="39" s="1"/>
  <c r="B41" i="39" s="1"/>
  <c r="B42" i="39" s="1"/>
  <c r="B43" i="39" s="1"/>
  <c r="B44" i="39" s="1"/>
  <c r="B45" i="39" s="1"/>
  <c r="B46" i="39" s="1"/>
  <c r="B47" i="39" s="1"/>
  <c r="B48" i="39" s="1"/>
  <c r="B49" i="39" s="1"/>
  <c r="B50" i="39" s="1"/>
  <c r="B51" i="39" s="1"/>
  <c r="B52" i="39" s="1"/>
  <c r="B53" i="39" s="1"/>
  <c r="B54" i="39" s="1"/>
  <c r="B55" i="39" s="1"/>
  <c r="B56" i="39" s="1"/>
  <c r="B57" i="39" s="1"/>
  <c r="B58" i="39" s="1"/>
  <c r="B59" i="39" s="1"/>
  <c r="B60" i="39" s="1"/>
  <c r="B61" i="39" s="1"/>
  <c r="B62" i="39" s="1"/>
  <c r="B63" i="39" s="1"/>
  <c r="B64" i="39" s="1"/>
  <c r="B65" i="39" s="1"/>
  <c r="B66" i="39" s="1"/>
  <c r="B67" i="39" s="1"/>
  <c r="B68" i="39" s="1"/>
  <c r="B1" i="39"/>
  <c r="G31" i="6"/>
  <c r="G21" i="6"/>
  <c r="G11" i="6"/>
  <c r="AA64" i="20"/>
  <c r="AA65" i="20" s="1"/>
  <c r="AA66" i="20" s="1"/>
  <c r="AA67" i="20" s="1"/>
  <c r="AA68" i="20" s="1"/>
  <c r="AA69" i="20" s="1"/>
  <c r="AA70" i="20" s="1"/>
  <c r="AA71" i="20" s="1"/>
  <c r="AA72" i="20" s="1"/>
  <c r="AA73" i="20" s="1"/>
  <c r="AA74" i="20" s="1"/>
  <c r="AA75" i="20" s="1"/>
  <c r="AA76" i="20" s="1"/>
  <c r="AA77" i="20" s="1"/>
  <c r="AA78" i="20" s="1"/>
  <c r="AA79" i="20" s="1"/>
  <c r="AA80" i="20" s="1"/>
  <c r="AA81" i="20" s="1"/>
  <c r="AA82" i="20" s="1"/>
  <c r="AA83" i="20" s="1"/>
  <c r="AA84" i="20" s="1"/>
  <c r="AA85" i="20" s="1"/>
  <c r="AU62" i="20"/>
  <c r="AU63" i="20" s="1"/>
  <c r="AU64" i="20" s="1"/>
  <c r="AU65" i="20" s="1"/>
  <c r="AU66" i="20" s="1"/>
  <c r="AU67" i="20" s="1"/>
  <c r="AU68" i="20" s="1"/>
  <c r="AU69" i="20" s="1"/>
  <c r="AU70" i="20" s="1"/>
  <c r="AU71" i="20" s="1"/>
  <c r="AU72" i="20" s="1"/>
  <c r="AU73" i="20" s="1"/>
  <c r="AU74" i="20" s="1"/>
  <c r="AU75" i="20" s="1"/>
  <c r="AU76" i="20" s="1"/>
  <c r="AU77" i="20" s="1"/>
  <c r="AU78" i="20" s="1"/>
  <c r="AU79" i="20" s="1"/>
  <c r="AU80" i="20" s="1"/>
  <c r="AU81" i="20" s="1"/>
  <c r="AU82" i="20" s="1"/>
  <c r="AU83" i="20" s="1"/>
  <c r="AU84" i="20" s="1"/>
  <c r="AU85" i="20" s="1"/>
  <c r="AS62" i="20"/>
  <c r="AK62" i="20"/>
  <c r="AK63" i="20" s="1"/>
  <c r="AK64" i="20" s="1"/>
  <c r="AK65" i="20" s="1"/>
  <c r="AK66" i="20" s="1"/>
  <c r="AK67" i="20" s="1"/>
  <c r="AK68" i="20" s="1"/>
  <c r="AK69" i="20" s="1"/>
  <c r="AK70" i="20" s="1"/>
  <c r="AK71" i="20" s="1"/>
  <c r="AK72" i="20" s="1"/>
  <c r="AK73" i="20" s="1"/>
  <c r="AK74" i="20" s="1"/>
  <c r="AK75" i="20" s="1"/>
  <c r="AK76" i="20" s="1"/>
  <c r="AK77" i="20" s="1"/>
  <c r="AK78" i="20" s="1"/>
  <c r="AK79" i="20" s="1"/>
  <c r="AK80" i="20" s="1"/>
  <c r="AK81" i="20" s="1"/>
  <c r="AK82" i="20" s="1"/>
  <c r="AK83" i="20" s="1"/>
  <c r="AK84" i="20" s="1"/>
  <c r="AK85" i="20" s="1"/>
  <c r="AU61" i="20"/>
  <c r="AS61" i="20"/>
  <c r="AK61" i="20"/>
  <c r="AA61" i="20"/>
  <c r="AA62" i="20" s="1"/>
  <c r="AA63" i="20" s="1"/>
  <c r="AI61" i="20"/>
  <c r="E3" i="3"/>
  <c r="E1" i="3"/>
  <c r="AD50" i="22" s="1"/>
  <c r="E4" i="3"/>
  <c r="E2" i="3"/>
  <c r="AS40" i="20"/>
  <c r="AS39" i="20"/>
  <c r="AS27" i="20"/>
  <c r="AS26" i="20"/>
  <c r="AS25" i="20"/>
  <c r="AS24" i="20"/>
  <c r="AS23" i="20"/>
  <c r="AS22" i="20"/>
  <c r="AS21" i="20"/>
  <c r="AS20" i="20"/>
  <c r="AS19" i="20"/>
  <c r="AS18" i="20"/>
  <c r="AS17" i="20"/>
  <c r="AS16" i="20"/>
  <c r="AS15" i="20"/>
  <c r="AS14" i="20"/>
  <c r="AS13" i="20"/>
  <c r="AS12" i="20"/>
  <c r="AI41" i="20"/>
  <c r="AI40" i="20"/>
  <c r="AI28" i="20"/>
  <c r="AI27" i="20"/>
  <c r="AI26" i="20"/>
  <c r="AI25" i="20"/>
  <c r="AI24" i="20"/>
  <c r="AI23" i="20"/>
  <c r="AI22" i="20"/>
  <c r="AI21" i="20"/>
  <c r="AI20" i="20"/>
  <c r="AI19" i="20"/>
  <c r="AI18" i="20"/>
  <c r="AI17" i="20"/>
  <c r="AI16" i="20"/>
  <c r="AI15" i="20"/>
  <c r="AI14" i="20"/>
  <c r="AI13" i="20"/>
  <c r="AI12" i="20"/>
  <c r="AR15" i="20"/>
  <c r="AR16" i="20" s="1"/>
  <c r="AR17" i="20" s="1"/>
  <c r="AR18" i="20" s="1"/>
  <c r="AR19" i="20" s="1"/>
  <c r="AR20" i="20" s="1"/>
  <c r="AR21" i="20" s="1"/>
  <c r="AR22" i="20" s="1"/>
  <c r="AR23" i="20" s="1"/>
  <c r="AR24" i="20" s="1"/>
  <c r="AR25" i="20" s="1"/>
  <c r="AR26" i="20" s="1"/>
  <c r="AR27" i="20" s="1"/>
  <c r="AR28" i="20" s="1"/>
  <c r="AR29" i="20" s="1"/>
  <c r="AR30" i="20" s="1"/>
  <c r="AR31" i="20" s="1"/>
  <c r="AR32" i="20" s="1"/>
  <c r="AR33" i="20" s="1"/>
  <c r="AR34" i="20" s="1"/>
  <c r="AR35" i="20" s="1"/>
  <c r="AR36" i="20" s="1"/>
  <c r="AR37" i="20" s="1"/>
  <c r="AR38" i="20" s="1"/>
  <c r="AR39" i="20" s="1"/>
  <c r="AR40" i="20" s="1"/>
  <c r="AR41" i="20" s="1"/>
  <c r="AR42" i="20" s="1"/>
  <c r="AR43" i="20" s="1"/>
  <c r="AR44" i="20" s="1"/>
  <c r="AR45" i="20" s="1"/>
  <c r="AR46" i="20" s="1"/>
  <c r="AR47" i="20" s="1"/>
  <c r="AR48" i="20" s="1"/>
  <c r="AR49" i="20" s="1"/>
  <c r="AR50" i="20" s="1"/>
  <c r="AR51" i="20" s="1"/>
  <c r="AR52" i="20" s="1"/>
  <c r="AR53" i="20" s="1"/>
  <c r="AR54" i="20" s="1"/>
  <c r="AR55" i="20" s="1"/>
  <c r="AR56" i="20" s="1"/>
  <c r="AR57" i="20" s="1"/>
  <c r="AR58" i="20" s="1"/>
  <c r="AR59" i="20" s="1"/>
  <c r="AR60" i="20" s="1"/>
  <c r="AR61" i="20" s="1"/>
  <c r="AR62" i="20" s="1"/>
  <c r="AQ15" i="20"/>
  <c r="AQ16" i="20" s="1"/>
  <c r="AQ17" i="20" s="1"/>
  <c r="AQ18" i="20" s="1"/>
  <c r="AQ19" i="20" s="1"/>
  <c r="AQ20" i="20" s="1"/>
  <c r="AQ21" i="20" s="1"/>
  <c r="AQ22" i="20" s="1"/>
  <c r="AQ23" i="20" s="1"/>
  <c r="AQ24" i="20" s="1"/>
  <c r="AQ25" i="20" s="1"/>
  <c r="AQ26" i="20" s="1"/>
  <c r="AQ27" i="20" s="1"/>
  <c r="AQ28" i="20" s="1"/>
  <c r="AQ29" i="20" s="1"/>
  <c r="AQ30" i="20" s="1"/>
  <c r="AQ31" i="20" s="1"/>
  <c r="AQ32" i="20" s="1"/>
  <c r="AQ33" i="20" s="1"/>
  <c r="AQ34" i="20" s="1"/>
  <c r="AQ35" i="20" s="1"/>
  <c r="AQ36" i="20" s="1"/>
  <c r="AQ37" i="20" s="1"/>
  <c r="AQ38" i="20" s="1"/>
  <c r="AQ39" i="20" s="1"/>
  <c r="AQ40" i="20" s="1"/>
  <c r="AQ41" i="20" s="1"/>
  <c r="AQ42" i="20" s="1"/>
  <c r="AQ43" i="20" s="1"/>
  <c r="AQ44" i="20" s="1"/>
  <c r="AQ45" i="20" s="1"/>
  <c r="AQ46" i="20" s="1"/>
  <c r="AQ47" i="20" s="1"/>
  <c r="AQ48" i="20" s="1"/>
  <c r="AQ49" i="20" s="1"/>
  <c r="AQ50" i="20" s="1"/>
  <c r="AQ51" i="20" s="1"/>
  <c r="AQ52" i="20" s="1"/>
  <c r="AQ53" i="20" s="1"/>
  <c r="AQ54" i="20" s="1"/>
  <c r="AQ55" i="20" s="1"/>
  <c r="AQ56" i="20" s="1"/>
  <c r="AQ57" i="20" s="1"/>
  <c r="AQ58" i="20" s="1"/>
  <c r="AQ59" i="20" s="1"/>
  <c r="AQ60" i="20" s="1"/>
  <c r="AQ61" i="20" s="1"/>
  <c r="AQ62" i="20" s="1"/>
  <c r="AQ63" i="20" s="1"/>
  <c r="AR14" i="20"/>
  <c r="AQ14" i="20"/>
  <c r="AR13" i="20"/>
  <c r="AQ13" i="20"/>
  <c r="AR12" i="20"/>
  <c r="AQ12" i="20"/>
  <c r="AH16" i="20"/>
  <c r="AH17" i="20" s="1"/>
  <c r="AH18" i="20" s="1"/>
  <c r="AH19" i="20" s="1"/>
  <c r="AH20" i="20" s="1"/>
  <c r="AH21" i="20" s="1"/>
  <c r="AH22" i="20" s="1"/>
  <c r="AH23" i="20" s="1"/>
  <c r="AH24" i="20" s="1"/>
  <c r="AH25" i="20" s="1"/>
  <c r="AH26" i="20" s="1"/>
  <c r="AH27" i="20" s="1"/>
  <c r="AH28" i="20" s="1"/>
  <c r="AH29" i="20" s="1"/>
  <c r="AH30" i="20" s="1"/>
  <c r="AH31" i="20" s="1"/>
  <c r="AH32" i="20" s="1"/>
  <c r="AH33" i="20" s="1"/>
  <c r="AH34" i="20" s="1"/>
  <c r="AH35" i="20" s="1"/>
  <c r="AH36" i="20" s="1"/>
  <c r="AH37" i="20" s="1"/>
  <c r="AH38" i="20" s="1"/>
  <c r="AH39" i="20" s="1"/>
  <c r="AH40" i="20" s="1"/>
  <c r="AG16" i="20"/>
  <c r="AG17" i="20" s="1"/>
  <c r="AG18" i="20" s="1"/>
  <c r="AG19" i="20" s="1"/>
  <c r="AG20" i="20" s="1"/>
  <c r="AG21" i="20" s="1"/>
  <c r="AG22" i="20" s="1"/>
  <c r="AG23" i="20" s="1"/>
  <c r="AG24" i="20" s="1"/>
  <c r="AG25" i="20" s="1"/>
  <c r="AG26" i="20" s="1"/>
  <c r="AG27" i="20" s="1"/>
  <c r="AG28" i="20" s="1"/>
  <c r="AG29" i="20" s="1"/>
  <c r="AG30" i="20" s="1"/>
  <c r="AG31" i="20" s="1"/>
  <c r="AG32" i="20" s="1"/>
  <c r="AG33" i="20" s="1"/>
  <c r="AG34" i="20" s="1"/>
  <c r="AG35" i="20" s="1"/>
  <c r="AG36" i="20" s="1"/>
  <c r="AG37" i="20" s="1"/>
  <c r="AG38" i="20" s="1"/>
  <c r="AG39" i="20" s="1"/>
  <c r="AG40" i="20" s="1"/>
  <c r="AF16" i="20"/>
  <c r="AF17" i="20" s="1"/>
  <c r="AF18" i="20" s="1"/>
  <c r="AH15" i="20"/>
  <c r="AG15" i="20"/>
  <c r="AH14" i="20"/>
  <c r="AG14" i="20"/>
  <c r="AH13" i="20"/>
  <c r="AG13" i="20"/>
  <c r="AH12" i="20"/>
  <c r="AG12" i="20"/>
  <c r="X17" i="20"/>
  <c r="X18" i="20" s="1"/>
  <c r="X19" i="20" s="1"/>
  <c r="X20" i="20" s="1"/>
  <c r="X21" i="20" s="1"/>
  <c r="X22" i="20" s="1"/>
  <c r="X23" i="20" s="1"/>
  <c r="X24" i="20" s="1"/>
  <c r="X25" i="20" s="1"/>
  <c r="X26" i="20" s="1"/>
  <c r="X27" i="20" s="1"/>
  <c r="X28" i="20" s="1"/>
  <c r="X29" i="20" s="1"/>
  <c r="X30" i="20" s="1"/>
  <c r="X31" i="20" s="1"/>
  <c r="X32" i="20" s="1"/>
  <c r="X33" i="20" s="1"/>
  <c r="X34" i="20" s="1"/>
  <c r="X35" i="20" s="1"/>
  <c r="X36" i="20" s="1"/>
  <c r="X37" i="20" s="1"/>
  <c r="X38" i="20" s="1"/>
  <c r="X39" i="20" s="1"/>
  <c r="X40" i="20" s="1"/>
  <c r="X16" i="20"/>
  <c r="W16" i="20"/>
  <c r="W17" i="20" s="1"/>
  <c r="W18" i="20" s="1"/>
  <c r="V16" i="20"/>
  <c r="V17" i="20" s="1"/>
  <c r="V18" i="20" s="1"/>
  <c r="X15" i="20"/>
  <c r="W15" i="20"/>
  <c r="Y14" i="20"/>
  <c r="X14" i="20"/>
  <c r="W14" i="20"/>
  <c r="X13" i="20"/>
  <c r="W13" i="20"/>
  <c r="X12" i="20"/>
  <c r="W12" i="20"/>
  <c r="O16" i="20"/>
  <c r="Y16" i="20" s="1"/>
  <c r="O15" i="20"/>
  <c r="Y15" i="20" s="1"/>
  <c r="O14" i="20"/>
  <c r="O13" i="20"/>
  <c r="Y13" i="20" s="1"/>
  <c r="O12" i="20"/>
  <c r="Y12" i="20" s="1"/>
  <c r="N16" i="20"/>
  <c r="N17" i="20" s="1"/>
  <c r="N18" i="20" s="1"/>
  <c r="N19" i="20" s="1"/>
  <c r="N20" i="20" s="1"/>
  <c r="N21" i="20" s="1"/>
  <c r="N22" i="20" s="1"/>
  <c r="N23" i="20" s="1"/>
  <c r="N24" i="20" s="1"/>
  <c r="N25" i="20" s="1"/>
  <c r="N26" i="20" s="1"/>
  <c r="N27" i="20" s="1"/>
  <c r="N28" i="20" s="1"/>
  <c r="N29" i="20" s="1"/>
  <c r="N30" i="20" s="1"/>
  <c r="N31" i="20" s="1"/>
  <c r="N32" i="20" s="1"/>
  <c r="N33" i="20" s="1"/>
  <c r="N34" i="20" s="1"/>
  <c r="N35" i="20" s="1"/>
  <c r="N36" i="20" s="1"/>
  <c r="N37" i="20" s="1"/>
  <c r="N38" i="20" s="1"/>
  <c r="N39" i="20" s="1"/>
  <c r="N40" i="20" s="1"/>
  <c r="M16" i="20"/>
  <c r="M17" i="20" s="1"/>
  <c r="M18" i="20" s="1"/>
  <c r="M19" i="20" s="1"/>
  <c r="M20" i="20" s="1"/>
  <c r="M21" i="20" s="1"/>
  <c r="M22" i="20" s="1"/>
  <c r="M23" i="20" s="1"/>
  <c r="M24" i="20" s="1"/>
  <c r="M25" i="20" s="1"/>
  <c r="M26" i="20" s="1"/>
  <c r="M27" i="20" s="1"/>
  <c r="M28" i="20" s="1"/>
  <c r="M29" i="20" s="1"/>
  <c r="M30" i="20" s="1"/>
  <c r="M31" i="20" s="1"/>
  <c r="M32" i="20" s="1"/>
  <c r="M33" i="20" s="1"/>
  <c r="M34" i="20" s="1"/>
  <c r="M35" i="20" s="1"/>
  <c r="M36" i="20" s="1"/>
  <c r="M37" i="20" s="1"/>
  <c r="M38" i="20" s="1"/>
  <c r="M39" i="20" s="1"/>
  <c r="M40" i="20" s="1"/>
  <c r="L16" i="20"/>
  <c r="L17" i="20" s="1"/>
  <c r="L18" i="20" s="1"/>
  <c r="M35" i="39" l="1"/>
  <c r="M34" i="39"/>
  <c r="D27" i="39"/>
  <c r="M31" i="39"/>
  <c r="AF19" i="20"/>
  <c r="AF20" i="20" s="1"/>
  <c r="AF21" i="20" s="1"/>
  <c r="AF22" i="20" s="1"/>
  <c r="AF23" i="20" s="1"/>
  <c r="AF24" i="20" s="1"/>
  <c r="AF25" i="20" s="1"/>
  <c r="AF26" i="20" s="1"/>
  <c r="AF27" i="20" s="1"/>
  <c r="AF28" i="20" s="1"/>
  <c r="AF29" i="20" s="1"/>
  <c r="AF30" i="20" s="1"/>
  <c r="AF31" i="20" s="1"/>
  <c r="AF32" i="20" s="1"/>
  <c r="AF33" i="20" s="1"/>
  <c r="AF34" i="20" s="1"/>
  <c r="AF35" i="20" s="1"/>
  <c r="AF36" i="20" s="1"/>
  <c r="AF37" i="20" s="1"/>
  <c r="AF38" i="20" s="1"/>
  <c r="AF39" i="20" s="1"/>
  <c r="AF40" i="20" s="1"/>
  <c r="L19" i="20"/>
  <c r="L20" i="20" s="1"/>
  <c r="L21" i="20" s="1"/>
  <c r="V19" i="20"/>
  <c r="V20" i="20" s="1"/>
  <c r="V21" i="20" s="1"/>
  <c r="V22" i="20" s="1"/>
  <c r="V23" i="20" s="1"/>
  <c r="V24" i="20" s="1"/>
  <c r="V25" i="20" s="1"/>
  <c r="V26" i="20" s="1"/>
  <c r="V27" i="20" s="1"/>
  <c r="V28" i="20" s="1"/>
  <c r="V29" i="20" s="1"/>
  <c r="V30" i="20" s="1"/>
  <c r="V31" i="20" s="1"/>
  <c r="V32" i="20" s="1"/>
  <c r="V33" i="20" s="1"/>
  <c r="V34" i="20" s="1"/>
  <c r="V35" i="20" s="1"/>
  <c r="V36" i="20" s="1"/>
  <c r="V37" i="20" s="1"/>
  <c r="V38" i="20" s="1"/>
  <c r="V39" i="20" s="1"/>
  <c r="V40" i="20" s="1"/>
  <c r="L15" i="20"/>
  <c r="AP15" i="20"/>
  <c r="AP16" i="20" s="1"/>
  <c r="AP17" i="20" s="1"/>
  <c r="AP18" i="20" s="1"/>
  <c r="AP19" i="20" s="1"/>
  <c r="AP20" i="20" s="1"/>
  <c r="AP21" i="20" s="1"/>
  <c r="AP22" i="20" s="1"/>
  <c r="AP23" i="20" s="1"/>
  <c r="AP24" i="20" s="1"/>
  <c r="AP25" i="20" s="1"/>
  <c r="AP26" i="20" s="1"/>
  <c r="AP27" i="20" s="1"/>
  <c r="AP28" i="20" s="1"/>
  <c r="AP29" i="20" s="1"/>
  <c r="AP30" i="20" s="1"/>
  <c r="AP31" i="20" s="1"/>
  <c r="AP32" i="20" s="1"/>
  <c r="AP33" i="20" s="1"/>
  <c r="AP34" i="20" s="1"/>
  <c r="AP35" i="20" s="1"/>
  <c r="AP36" i="20" s="1"/>
  <c r="AP37" i="20" s="1"/>
  <c r="AP38" i="20" s="1"/>
  <c r="AP39" i="20" s="1"/>
  <c r="AP40" i="20" s="1"/>
  <c r="AP41" i="20" s="1"/>
  <c r="AP42" i="20" s="1"/>
  <c r="AP43" i="20" s="1"/>
  <c r="AP44" i="20" s="1"/>
  <c r="AP45" i="20" s="1"/>
  <c r="AP46" i="20" s="1"/>
  <c r="AP47" i="20" s="1"/>
  <c r="AP48" i="20" s="1"/>
  <c r="AP49" i="20" s="1"/>
  <c r="AP50" i="20" s="1"/>
  <c r="AP51" i="20" s="1"/>
  <c r="AP52" i="20" s="1"/>
  <c r="AP53" i="20" s="1"/>
  <c r="AP54" i="20" s="1"/>
  <c r="AP55" i="20" s="1"/>
  <c r="AP56" i="20" s="1"/>
  <c r="AP57" i="20" s="1"/>
  <c r="AP58" i="20" s="1"/>
  <c r="AP59" i="20" s="1"/>
  <c r="AP60" i="20" s="1"/>
  <c r="AP61" i="20" s="1"/>
  <c r="AP62" i="20" s="1"/>
  <c r="AP63" i="20" s="1"/>
  <c r="AP64" i="20" s="1"/>
  <c r="AP65" i="20" s="1"/>
  <c r="AP66" i="20" s="1"/>
  <c r="AP67" i="20" s="1"/>
  <c r="AP68" i="20" s="1"/>
  <c r="AP69" i="20" s="1"/>
  <c r="AP70" i="20" s="1"/>
  <c r="AP71" i="20" s="1"/>
  <c r="AP72" i="20" s="1"/>
  <c r="AP73" i="20" s="1"/>
  <c r="AP74" i="20" s="1"/>
  <c r="AP75" i="20" s="1"/>
  <c r="AP76" i="20" s="1"/>
  <c r="AP77" i="20" s="1"/>
  <c r="AP78" i="20" s="1"/>
  <c r="AP79" i="20" s="1"/>
  <c r="AP80" i="20" s="1"/>
  <c r="AP81" i="20" s="1"/>
  <c r="AP82" i="20" s="1"/>
  <c r="AP83" i="20" s="1"/>
  <c r="AP84" i="20" s="1"/>
  <c r="AP85" i="20" s="1"/>
  <c r="O17" i="20"/>
  <c r="M32" i="39"/>
  <c r="M33" i="39"/>
  <c r="I27" i="39"/>
  <c r="H14" i="40"/>
  <c r="G15" i="40"/>
  <c r="L22" i="20"/>
  <c r="L23" i="20" s="1"/>
  <c r="L24" i="20" s="1"/>
  <c r="L25" i="20" s="1"/>
  <c r="L26" i="20" s="1"/>
  <c r="L27" i="20" s="1"/>
  <c r="L28" i="20" s="1"/>
  <c r="L29" i="20" s="1"/>
  <c r="L30" i="20" s="1"/>
  <c r="L31" i="20" s="1"/>
  <c r="L32" i="20" s="1"/>
  <c r="L33" i="20" s="1"/>
  <c r="L34" i="20" s="1"/>
  <c r="L35" i="20" s="1"/>
  <c r="L36" i="20" s="1"/>
  <c r="L37" i="20" s="1"/>
  <c r="L38" i="20" s="1"/>
  <c r="L39" i="20" s="1"/>
  <c r="L40" i="20" s="1"/>
  <c r="L41" i="20" s="1"/>
  <c r="AF15" i="20"/>
  <c r="AQ64" i="20"/>
  <c r="AI62" i="20"/>
  <c r="AR63" i="20"/>
  <c r="F1" i="3"/>
  <c r="W19" i="20"/>
  <c r="AS41" i="20"/>
  <c r="AI34" i="20"/>
  <c r="AS33" i="20"/>
  <c r="AI35" i="20"/>
  <c r="AS34" i="20"/>
  <c r="AI36" i="20"/>
  <c r="AS35" i="20"/>
  <c r="AI37" i="20"/>
  <c r="AS36" i="20"/>
  <c r="AI38" i="20"/>
  <c r="AS37" i="20"/>
  <c r="AI39" i="20"/>
  <c r="AS38" i="20"/>
  <c r="AI29" i="20"/>
  <c r="AS28" i="20"/>
  <c r="AI30" i="20"/>
  <c r="AS29" i="20"/>
  <c r="AI31" i="20"/>
  <c r="AS30" i="20"/>
  <c r="AI32" i="20"/>
  <c r="AS31" i="20"/>
  <c r="AI33" i="20"/>
  <c r="AS32" i="20"/>
  <c r="M27" i="39" l="1"/>
  <c r="L27" i="39"/>
  <c r="P52" i="27"/>
  <c r="P50" i="27"/>
  <c r="P47" i="27"/>
  <c r="P51" i="27"/>
  <c r="P49" i="27"/>
  <c r="P48" i="27"/>
  <c r="P46" i="27"/>
  <c r="Q46" i="27" s="1"/>
  <c r="C13" i="7"/>
  <c r="Y17" i="20"/>
  <c r="O18" i="20"/>
  <c r="I14" i="40"/>
  <c r="H15" i="40"/>
  <c r="O27" i="39"/>
  <c r="C14" i="7"/>
  <c r="C12" i="7"/>
  <c r="AR64" i="20"/>
  <c r="AI63" i="20"/>
  <c r="AS63" i="20"/>
  <c r="AQ65" i="20"/>
  <c r="AS42" i="20"/>
  <c r="AI42" i="20"/>
  <c r="V41" i="20"/>
  <c r="V42" i="20" s="1"/>
  <c r="V43" i="20" s="1"/>
  <c r="V44" i="20" s="1"/>
  <c r="V45" i="20" s="1"/>
  <c r="V46" i="20" s="1"/>
  <c r="V47" i="20" s="1"/>
  <c r="V48" i="20" s="1"/>
  <c r="V49" i="20" s="1"/>
  <c r="V50" i="20" s="1"/>
  <c r="V51" i="20" s="1"/>
  <c r="V52" i="20" s="1"/>
  <c r="V53" i="20" s="1"/>
  <c r="V54" i="20" s="1"/>
  <c r="V55" i="20" s="1"/>
  <c r="V56" i="20" s="1"/>
  <c r="V57" i="20" s="1"/>
  <c r="V58" i="20" s="1"/>
  <c r="V59" i="20" s="1"/>
  <c r="V60" i="20" s="1"/>
  <c r="V61" i="20" s="1"/>
  <c r="V62" i="20" s="1"/>
  <c r="AF41" i="20"/>
  <c r="AF42" i="20" s="1"/>
  <c r="AF43" i="20" s="1"/>
  <c r="AF44" i="20" s="1"/>
  <c r="AF45" i="20" s="1"/>
  <c r="AF46" i="20" s="1"/>
  <c r="AF47" i="20" s="1"/>
  <c r="AF48" i="20" s="1"/>
  <c r="AF49" i="20" s="1"/>
  <c r="AF50" i="20" s="1"/>
  <c r="AF51" i="20" s="1"/>
  <c r="AF52" i="20" s="1"/>
  <c r="AF53" i="20" s="1"/>
  <c r="AF54" i="20" s="1"/>
  <c r="AF55" i="20" s="1"/>
  <c r="AF56" i="20" s="1"/>
  <c r="AF57" i="20" s="1"/>
  <c r="AF58" i="20" s="1"/>
  <c r="AF59" i="20" s="1"/>
  <c r="AF60" i="20" s="1"/>
  <c r="AF61" i="20" s="1"/>
  <c r="AF62" i="20" s="1"/>
  <c r="W20" i="20"/>
  <c r="Q47" i="27" l="1"/>
  <c r="P54" i="27"/>
  <c r="O19" i="20"/>
  <c r="Y18" i="20"/>
  <c r="J14" i="40"/>
  <c r="J15" i="40" s="1"/>
  <c r="I15" i="40"/>
  <c r="P27" i="39"/>
  <c r="N27" i="39"/>
  <c r="AF63" i="20"/>
  <c r="V63" i="20"/>
  <c r="AQ66" i="20"/>
  <c r="AS64" i="20"/>
  <c r="AI64" i="20"/>
  <c r="AR65" i="20"/>
  <c r="W21" i="20"/>
  <c r="AS43" i="20"/>
  <c r="AI43" i="20"/>
  <c r="L42" i="20"/>
  <c r="L43" i="20" s="1"/>
  <c r="L44" i="20" s="1"/>
  <c r="L45" i="20" s="1"/>
  <c r="L46" i="20" s="1"/>
  <c r="L47" i="20" s="1"/>
  <c r="L48" i="20" s="1"/>
  <c r="L49" i="20" s="1"/>
  <c r="L50" i="20" s="1"/>
  <c r="L51" i="20" s="1"/>
  <c r="L52" i="20" s="1"/>
  <c r="L53" i="20" s="1"/>
  <c r="L54" i="20" s="1"/>
  <c r="L55" i="20" s="1"/>
  <c r="L56" i="20" s="1"/>
  <c r="L57" i="20" s="1"/>
  <c r="L58" i="20" s="1"/>
  <c r="L59" i="20" s="1"/>
  <c r="L60" i="20" s="1"/>
  <c r="L61" i="20" s="1"/>
  <c r="L62" i="20" s="1"/>
  <c r="L63" i="20" s="1"/>
  <c r="E4" i="5"/>
  <c r="E5" i="5"/>
  <c r="E7" i="5"/>
  <c r="E6" i="5"/>
  <c r="AR9" i="20"/>
  <c r="AQ9" i="20"/>
  <c r="AP9" i="20"/>
  <c r="AH9" i="20"/>
  <c r="AG9" i="20"/>
  <c r="AF9" i="20"/>
  <c r="X9" i="20"/>
  <c r="W9" i="20"/>
  <c r="V9" i="20"/>
  <c r="Q48" i="27" l="1"/>
  <c r="A39" i="2"/>
  <c r="B35" i="5" s="1"/>
  <c r="A40" i="3" s="1"/>
  <c r="O20" i="20"/>
  <c r="Y19" i="20"/>
  <c r="AR66" i="20"/>
  <c r="AS65" i="20"/>
  <c r="AI65" i="20"/>
  <c r="AQ67" i="20"/>
  <c r="AF64" i="20"/>
  <c r="L64" i="20"/>
  <c r="V64" i="20"/>
  <c r="AS44" i="20"/>
  <c r="AI44" i="20"/>
  <c r="W22" i="20"/>
  <c r="C23" i="7"/>
  <c r="AB85" i="8"/>
  <c r="C25" i="2"/>
  <c r="C12" i="5"/>
  <c r="B15" i="3" s="1"/>
  <c r="D3" i="17"/>
  <c r="B5" i="29" s="1"/>
  <c r="B33" i="8"/>
  <c r="O25" i="27"/>
  <c r="C7" i="11"/>
  <c r="B4" i="11"/>
  <c r="B5" i="11" s="1"/>
  <c r="W31" i="27"/>
  <c r="V32" i="27"/>
  <c r="O31" i="27" s="1"/>
  <c r="A31" i="27" s="1"/>
  <c r="AC76" i="8"/>
  <c r="AB77" i="8"/>
  <c r="AA77" i="8"/>
  <c r="K27" i="9"/>
  <c r="M15" i="8"/>
  <c r="B15" i="8" s="1"/>
  <c r="Q30" i="27"/>
  <c r="B36" i="8"/>
  <c r="B70" i="8" s="1"/>
  <c r="D77" i="8" s="1"/>
  <c r="A28" i="3"/>
  <c r="A17" i="3"/>
  <c r="A12" i="29" s="1"/>
  <c r="W24" i="27"/>
  <c r="O24" i="27" s="1"/>
  <c r="W23" i="27"/>
  <c r="O23" i="27" s="1"/>
  <c r="Q25" i="27"/>
  <c r="Q24" i="27"/>
  <c r="Q23" i="27"/>
  <c r="AH34" i="34"/>
  <c r="W30" i="27"/>
  <c r="B34" i="18"/>
  <c r="C21" i="5"/>
  <c r="C22" i="5"/>
  <c r="B28" i="3"/>
  <c r="H16" i="3" s="1"/>
  <c r="P47" i="31"/>
  <c r="P46" i="31"/>
  <c r="P45" i="31"/>
  <c r="P44" i="31"/>
  <c r="P43" i="31"/>
  <c r="P42" i="31"/>
  <c r="P41" i="31"/>
  <c r="P40" i="31"/>
  <c r="P39" i="31"/>
  <c r="F38" i="31"/>
  <c r="M38" i="31" s="1"/>
  <c r="T38" i="31" s="1"/>
  <c r="AA38" i="31" s="1"/>
  <c r="E38" i="31"/>
  <c r="L38" i="31" s="1"/>
  <c r="S38" i="31" s="1"/>
  <c r="Z38" i="31" s="1"/>
  <c r="D38" i="31"/>
  <c r="K38" i="31" s="1"/>
  <c r="R38" i="31" s="1"/>
  <c r="Y38" i="31" s="1"/>
  <c r="B38" i="31"/>
  <c r="I38" i="31" s="1"/>
  <c r="P38" i="31" s="1"/>
  <c r="W38" i="31" s="1"/>
  <c r="C38" i="31"/>
  <c r="J38" i="31" s="1"/>
  <c r="Q38" i="31" s="1"/>
  <c r="X38" i="31" s="1"/>
  <c r="B47" i="31"/>
  <c r="B46" i="31"/>
  <c r="B45" i="31"/>
  <c r="B44" i="31"/>
  <c r="B43" i="31"/>
  <c r="B42" i="31"/>
  <c r="B41" i="31"/>
  <c r="B40" i="31"/>
  <c r="A39" i="31"/>
  <c r="H39" i="31" s="1"/>
  <c r="O39" i="31" s="1"/>
  <c r="V39" i="31" s="1"/>
  <c r="B39" i="31"/>
  <c r="K83" i="28"/>
  <c r="J83" i="28"/>
  <c r="K72" i="28"/>
  <c r="J72" i="28"/>
  <c r="K62" i="28"/>
  <c r="J62" i="28"/>
  <c r="I62" i="28"/>
  <c r="I72" i="28" s="1"/>
  <c r="I83" i="28" s="1"/>
  <c r="K52" i="28"/>
  <c r="J52" i="28"/>
  <c r="I33" i="28"/>
  <c r="H33" i="28"/>
  <c r="I28" i="28"/>
  <c r="H28" i="28"/>
  <c r="I23" i="28"/>
  <c r="H23" i="28"/>
  <c r="I18" i="28"/>
  <c r="H18" i="28"/>
  <c r="I13" i="28"/>
  <c r="H13" i="28"/>
  <c r="I8" i="28"/>
  <c r="H8" i="28"/>
  <c r="B33" i="3"/>
  <c r="B36" i="4" s="1"/>
  <c r="AC12" i="20"/>
  <c r="K39" i="31" s="1"/>
  <c r="I13" i="20"/>
  <c r="I40" i="31" s="1"/>
  <c r="B35" i="3"/>
  <c r="B38" i="4" s="1"/>
  <c r="B14" i="3"/>
  <c r="B19" i="4" s="1"/>
  <c r="E62" i="3"/>
  <c r="L63" i="3" s="1"/>
  <c r="S63" i="3" s="1"/>
  <c r="E39" i="31"/>
  <c r="AU13" i="20"/>
  <c r="AU14" i="20" s="1"/>
  <c r="AU15" i="20" s="1"/>
  <c r="AU16" i="20" s="1"/>
  <c r="AU17" i="20" s="1"/>
  <c r="AU18" i="20" s="1"/>
  <c r="AU19" i="20" s="1"/>
  <c r="AU20" i="20" s="1"/>
  <c r="AU21" i="20" s="1"/>
  <c r="AU22" i="20" s="1"/>
  <c r="AU23" i="20" s="1"/>
  <c r="AU24" i="20" s="1"/>
  <c r="AU25" i="20" s="1"/>
  <c r="AU26" i="20" s="1"/>
  <c r="AU27" i="20" s="1"/>
  <c r="AU28" i="20" s="1"/>
  <c r="AU29" i="20" s="1"/>
  <c r="AU30" i="20" s="1"/>
  <c r="AU31" i="20" s="1"/>
  <c r="AU32" i="20" s="1"/>
  <c r="AU33" i="20" s="1"/>
  <c r="AU34" i="20" s="1"/>
  <c r="AU35" i="20" s="1"/>
  <c r="AU36" i="20" s="1"/>
  <c r="AU37" i="20" s="1"/>
  <c r="AU38" i="20" s="1"/>
  <c r="AU39" i="20" s="1"/>
  <c r="AU40" i="20" s="1"/>
  <c r="AU41" i="20" s="1"/>
  <c r="AU42" i="20" s="1"/>
  <c r="AU43" i="20" s="1"/>
  <c r="AU44" i="20" s="1"/>
  <c r="AU45" i="20" s="1"/>
  <c r="AU46" i="20" s="1"/>
  <c r="AU47" i="20" s="1"/>
  <c r="AU48" i="20" s="1"/>
  <c r="AU49" i="20" s="1"/>
  <c r="AU50" i="20" s="1"/>
  <c r="AU51" i="20" s="1"/>
  <c r="AU52" i="20" s="1"/>
  <c r="AU53" i="20" s="1"/>
  <c r="AU54" i="20" s="1"/>
  <c r="AU55" i="20" s="1"/>
  <c r="AU56" i="20" s="1"/>
  <c r="AU57" i="20" s="1"/>
  <c r="AU58" i="20" s="1"/>
  <c r="AU59" i="20" s="1"/>
  <c r="AU60" i="20" s="1"/>
  <c r="AK13" i="20"/>
  <c r="AK14" i="20" s="1"/>
  <c r="AK15" i="20" s="1"/>
  <c r="AK16" i="20" s="1"/>
  <c r="AK17" i="20" s="1"/>
  <c r="AK18" i="20" s="1"/>
  <c r="AK19" i="20" s="1"/>
  <c r="AK20" i="20" s="1"/>
  <c r="AK21" i="20" s="1"/>
  <c r="AK22" i="20" s="1"/>
  <c r="AK23" i="20" s="1"/>
  <c r="AK24" i="20" s="1"/>
  <c r="AK25" i="20" s="1"/>
  <c r="AK26" i="20" s="1"/>
  <c r="AK27" i="20" s="1"/>
  <c r="AK28" i="20" s="1"/>
  <c r="AK29" i="20" s="1"/>
  <c r="AK30" i="20" s="1"/>
  <c r="AK31" i="20" s="1"/>
  <c r="AK32" i="20" s="1"/>
  <c r="AK33" i="20" s="1"/>
  <c r="AK34" i="20" s="1"/>
  <c r="AK35" i="20" s="1"/>
  <c r="AK36" i="20" s="1"/>
  <c r="AK37" i="20" s="1"/>
  <c r="AK38" i="20" s="1"/>
  <c r="AK39" i="20" s="1"/>
  <c r="AK40" i="20" s="1"/>
  <c r="AK41" i="20" s="1"/>
  <c r="AK42" i="20" s="1"/>
  <c r="AK43" i="20" s="1"/>
  <c r="AK44" i="20" s="1"/>
  <c r="AK45" i="20" s="1"/>
  <c r="AK46" i="20" s="1"/>
  <c r="AK47" i="20" s="1"/>
  <c r="AK48" i="20" s="1"/>
  <c r="AK49" i="20" s="1"/>
  <c r="AK50" i="20" s="1"/>
  <c r="AK51" i="20" s="1"/>
  <c r="AK52" i="20" s="1"/>
  <c r="AK53" i="20" s="1"/>
  <c r="AK54" i="20" s="1"/>
  <c r="AK55" i="20" s="1"/>
  <c r="AK56" i="20" s="1"/>
  <c r="AK57" i="20" s="1"/>
  <c r="AK58" i="20" s="1"/>
  <c r="AK59" i="20" s="1"/>
  <c r="AK60" i="20" s="1"/>
  <c r="AA13" i="20"/>
  <c r="AA14" i="20" s="1"/>
  <c r="AA15" i="20" s="1"/>
  <c r="AA16" i="20" s="1"/>
  <c r="AA17" i="20" s="1"/>
  <c r="AA18" i="20" s="1"/>
  <c r="AA19" i="20" s="1"/>
  <c r="AA20" i="20" s="1"/>
  <c r="AA21" i="20" s="1"/>
  <c r="AA22" i="20" s="1"/>
  <c r="AA23" i="20" s="1"/>
  <c r="AA24" i="20" s="1"/>
  <c r="AA25" i="20" s="1"/>
  <c r="AA26" i="20" s="1"/>
  <c r="AA27" i="20" s="1"/>
  <c r="AA28" i="20" s="1"/>
  <c r="AA29" i="20" s="1"/>
  <c r="AA30" i="20" s="1"/>
  <c r="AA31" i="20" s="1"/>
  <c r="AA32" i="20" s="1"/>
  <c r="AA33" i="20" s="1"/>
  <c r="AA34" i="20" s="1"/>
  <c r="AA35" i="20" s="1"/>
  <c r="AA36" i="20" s="1"/>
  <c r="AA37" i="20" s="1"/>
  <c r="AA38" i="20" s="1"/>
  <c r="AA39" i="20" s="1"/>
  <c r="AA40" i="20" s="1"/>
  <c r="AA41" i="20" s="1"/>
  <c r="AA42" i="20" s="1"/>
  <c r="AA43" i="20" s="1"/>
  <c r="AA44" i="20" s="1"/>
  <c r="AA45" i="20" s="1"/>
  <c r="AA46" i="20" s="1"/>
  <c r="AA47" i="20" s="1"/>
  <c r="AA48" i="20" s="1"/>
  <c r="AA49" i="20" s="1"/>
  <c r="AA50" i="20" s="1"/>
  <c r="AA51" i="20" s="1"/>
  <c r="AA52" i="20" s="1"/>
  <c r="AA53" i="20" s="1"/>
  <c r="AA54" i="20" s="1"/>
  <c r="AA55" i="20" s="1"/>
  <c r="AA56" i="20" s="1"/>
  <c r="AA57" i="20" s="1"/>
  <c r="AA58" i="20" s="1"/>
  <c r="AA59" i="20" s="1"/>
  <c r="AA60" i="20" s="1"/>
  <c r="L13" i="20"/>
  <c r="L12" i="20"/>
  <c r="Q39" i="31"/>
  <c r="Q40" i="31"/>
  <c r="W4" i="20"/>
  <c r="AG4" i="20" s="1"/>
  <c r="AQ4" i="20" s="1"/>
  <c r="B7" i="30"/>
  <c r="B8" i="30" s="1"/>
  <c r="B9" i="30" s="1"/>
  <c r="B11" i="30" s="1"/>
  <c r="B12" i="30" s="1"/>
  <c r="B13" i="30" s="1"/>
  <c r="B14" i="30" s="1"/>
  <c r="A37" i="4"/>
  <c r="O50" i="16"/>
  <c r="N50" i="16"/>
  <c r="M50" i="16"/>
  <c r="P50" i="16"/>
  <c r="J50" i="16"/>
  <c r="I50" i="16"/>
  <c r="H50" i="16"/>
  <c r="F50" i="16"/>
  <c r="D50" i="16"/>
  <c r="C50" i="16"/>
  <c r="B50" i="16"/>
  <c r="AM27" i="9"/>
  <c r="AD27" i="9"/>
  <c r="J24" i="9"/>
  <c r="C30" i="2"/>
  <c r="C29" i="2"/>
  <c r="G37" i="8"/>
  <c r="B27" i="8"/>
  <c r="C65" i="8"/>
  <c r="C64" i="8"/>
  <c r="G74" i="8" s="1"/>
  <c r="B65" i="8"/>
  <c r="B64" i="8"/>
  <c r="A17" i="27"/>
  <c r="B17" i="27"/>
  <c r="C17" i="27"/>
  <c r="D17" i="27"/>
  <c r="E17" i="27"/>
  <c r="A20" i="27"/>
  <c r="B20" i="27"/>
  <c r="C20" i="27"/>
  <c r="D20" i="27"/>
  <c r="E20" i="27"/>
  <c r="A21" i="27"/>
  <c r="B21" i="27"/>
  <c r="C21" i="27"/>
  <c r="D21" i="27"/>
  <c r="E21" i="27"/>
  <c r="V29" i="27"/>
  <c r="W29" i="27"/>
  <c r="X29" i="27"/>
  <c r="O28" i="27" s="1"/>
  <c r="AA29" i="27"/>
  <c r="AB29" i="27"/>
  <c r="Q28" i="27" s="1"/>
  <c r="V30" i="27"/>
  <c r="X30" i="27"/>
  <c r="O29" i="27" s="1"/>
  <c r="AA30" i="27"/>
  <c r="AB30" i="27"/>
  <c r="V31" i="27"/>
  <c r="O30" i="27" s="1"/>
  <c r="A13" i="20"/>
  <c r="A40" i="31" s="1"/>
  <c r="H40" i="31" s="1"/>
  <c r="O40" i="31" s="1"/>
  <c r="V40" i="31" s="1"/>
  <c r="R40" i="19"/>
  <c r="S40" i="19" s="1"/>
  <c r="T40" i="19" s="1"/>
  <c r="U40" i="19" s="1"/>
  <c r="V40" i="19" s="1"/>
  <c r="W40" i="19" s="1"/>
  <c r="X40" i="19" s="1"/>
  <c r="Y40" i="19" s="1"/>
  <c r="B6" i="17"/>
  <c r="C6" i="17" s="1"/>
  <c r="D6" i="17" s="1"/>
  <c r="E6" i="17" s="1"/>
  <c r="F6" i="17" s="1"/>
  <c r="G6" i="17" s="1"/>
  <c r="N11" i="17"/>
  <c r="A1" i="22"/>
  <c r="B1" i="22"/>
  <c r="AH6" i="22"/>
  <c r="AK6" i="22"/>
  <c r="AL6" i="22" s="1"/>
  <c r="AM6" i="22" s="1"/>
  <c r="AN6" i="22" s="1"/>
  <c r="AO6" i="22" s="1"/>
  <c r="AP6" i="22" s="1"/>
  <c r="AQ6" i="22" s="1"/>
  <c r="AR6" i="22" s="1"/>
  <c r="AS6" i="22" s="1"/>
  <c r="AT6" i="22" s="1"/>
  <c r="AU6" i="22" s="1"/>
  <c r="AV6" i="22" s="1"/>
  <c r="AW6" i="22" s="1"/>
  <c r="AX6" i="22" s="1"/>
  <c r="AY6" i="22" s="1"/>
  <c r="AZ6" i="22" s="1"/>
  <c r="BA6" i="22" s="1"/>
  <c r="BB6" i="22" s="1"/>
  <c r="BC6" i="22" s="1"/>
  <c r="BD6" i="22" s="1"/>
  <c r="BE6" i="22" s="1"/>
  <c r="BF6" i="22" s="1"/>
  <c r="BG6" i="22" s="1"/>
  <c r="BH6" i="22" s="1"/>
  <c r="BI6" i="22" s="1"/>
  <c r="BJ6" i="22" s="1"/>
  <c r="BK6" i="22" s="1"/>
  <c r="BL6" i="22" s="1"/>
  <c r="BM6" i="22" s="1"/>
  <c r="BN6" i="22" s="1"/>
  <c r="BO6" i="22" s="1"/>
  <c r="BP6" i="22" s="1"/>
  <c r="BQ6" i="22" s="1"/>
  <c r="BR6" i="22" s="1"/>
  <c r="BS6" i="22" s="1"/>
  <c r="BT6" i="22" s="1"/>
  <c r="BU6" i="22" s="1"/>
  <c r="BV6" i="22" s="1"/>
  <c r="BW6" i="22" s="1"/>
  <c r="BX6" i="22" s="1"/>
  <c r="BY6" i="22" s="1"/>
  <c r="BZ6" i="22" s="1"/>
  <c r="CA6" i="22" s="1"/>
  <c r="CB6" i="22" s="1"/>
  <c r="CC6" i="22" s="1"/>
  <c r="CD6" i="22" s="1"/>
  <c r="CE6" i="22" s="1"/>
  <c r="CF6" i="22" s="1"/>
  <c r="CG6" i="22" s="1"/>
  <c r="CH6" i="22" s="1"/>
  <c r="CI6" i="22" s="1"/>
  <c r="AI9" i="22"/>
  <c r="A1" i="16"/>
  <c r="A2" i="16"/>
  <c r="A10" i="16" s="1"/>
  <c r="A1" i="15"/>
  <c r="G5" i="15"/>
  <c r="P5" i="15"/>
  <c r="A1" i="14"/>
  <c r="A1" i="13"/>
  <c r="B3" i="13"/>
  <c r="C3" i="13" s="1"/>
  <c r="D3" i="13" s="1"/>
  <c r="E3" i="13" s="1"/>
  <c r="F3" i="13" s="1"/>
  <c r="G3" i="13" s="1"/>
  <c r="H3" i="13" s="1"/>
  <c r="I3" i="13" s="1"/>
  <c r="J3" i="13" s="1"/>
  <c r="K3" i="13" s="1"/>
  <c r="L3" i="13" s="1"/>
  <c r="M3" i="13" s="1"/>
  <c r="N3" i="13" s="1"/>
  <c r="O3" i="13" s="1"/>
  <c r="P3" i="13" s="1"/>
  <c r="Q3" i="13" s="1"/>
  <c r="R3" i="13" s="1"/>
  <c r="S3" i="13" s="1"/>
  <c r="T3" i="13" s="1"/>
  <c r="U3" i="13" s="1"/>
  <c r="V3" i="13" s="1"/>
  <c r="W3" i="13" s="1"/>
  <c r="X3" i="13" s="1"/>
  <c r="Y3" i="13" s="1"/>
  <c r="Z3" i="13" s="1"/>
  <c r="AA3" i="13" s="1"/>
  <c r="AB3" i="13" s="1"/>
  <c r="AC3" i="13" s="1"/>
  <c r="AD3" i="13" s="1"/>
  <c r="AE3" i="13" s="1"/>
  <c r="AF3" i="13" s="1"/>
  <c r="AG3" i="13" s="1"/>
  <c r="AH3" i="13" s="1"/>
  <c r="AI3" i="13" s="1"/>
  <c r="AJ3" i="13" s="1"/>
  <c r="AA7" i="13"/>
  <c r="AE7" i="13" s="1"/>
  <c r="A1" i="12"/>
  <c r="A1" i="11"/>
  <c r="B12" i="11"/>
  <c r="B1" i="10"/>
  <c r="G8" i="10"/>
  <c r="A1" i="9"/>
  <c r="C6" i="9"/>
  <c r="C19" i="9" s="1"/>
  <c r="C27" i="9" s="1"/>
  <c r="D27" i="9" s="1"/>
  <c r="C9" i="9"/>
  <c r="C10" i="9" s="1"/>
  <c r="C14" i="9"/>
  <c r="H27" i="9" s="1"/>
  <c r="T20" i="9"/>
  <c r="J27" i="9"/>
  <c r="T27" i="9"/>
  <c r="U27" i="9"/>
  <c r="X27" i="9"/>
  <c r="Y27" i="9"/>
  <c r="AC27" i="9" s="1"/>
  <c r="AL27" i="9"/>
  <c r="A1" i="8"/>
  <c r="B4" i="8"/>
  <c r="B34" i="8"/>
  <c r="B62" i="8"/>
  <c r="C62" i="8"/>
  <c r="B63" i="8"/>
  <c r="C63" i="8"/>
  <c r="B66" i="8"/>
  <c r="C66" i="8"/>
  <c r="C67" i="8"/>
  <c r="C68" i="8"/>
  <c r="G75" i="8" s="1"/>
  <c r="B1" i="7"/>
  <c r="K21" i="7"/>
  <c r="K23" i="7"/>
  <c r="A26" i="7"/>
  <c r="A27" i="7"/>
  <c r="A28" i="7" s="1"/>
  <c r="A29" i="7" s="1"/>
  <c r="B1" i="6"/>
  <c r="B1" i="5"/>
  <c r="C5" i="5"/>
  <c r="C6" i="5"/>
  <c r="C9" i="5"/>
  <c r="C10" i="5"/>
  <c r="C11" i="5"/>
  <c r="C16" i="5"/>
  <c r="C17" i="5"/>
  <c r="C18" i="5"/>
  <c r="C19" i="5"/>
  <c r="B21" i="5"/>
  <c r="C24" i="5"/>
  <c r="C25" i="5"/>
  <c r="C26" i="5"/>
  <c r="T25" i="5"/>
  <c r="C27" i="5"/>
  <c r="C28" i="5"/>
  <c r="C29" i="5"/>
  <c r="C30" i="5"/>
  <c r="T29" i="5"/>
  <c r="T30" i="5"/>
  <c r="C32" i="5"/>
  <c r="T31" i="5"/>
  <c r="C33" i="5"/>
  <c r="T32" i="5"/>
  <c r="C34" i="5"/>
  <c r="T33" i="5"/>
  <c r="T34" i="5"/>
  <c r="T35" i="5"/>
  <c r="T36" i="5"/>
  <c r="T37" i="5"/>
  <c r="T38" i="5"/>
  <c r="T39" i="5"/>
  <c r="T40" i="5"/>
  <c r="T41" i="5"/>
  <c r="F101" i="5"/>
  <c r="F102" i="5"/>
  <c r="F103" i="5"/>
  <c r="A1" i="29"/>
  <c r="B8" i="29"/>
  <c r="B9" i="29"/>
  <c r="B14" i="29"/>
  <c r="B15" i="29"/>
  <c r="B16" i="29"/>
  <c r="B17" i="29"/>
  <c r="A19" i="29"/>
  <c r="B20" i="29"/>
  <c r="B21" i="29"/>
  <c r="B22" i="29"/>
  <c r="B23" i="29"/>
  <c r="B24" i="29"/>
  <c r="B25" i="29"/>
  <c r="B26" i="29"/>
  <c r="B27" i="29"/>
  <c r="B28" i="29"/>
  <c r="B30" i="29"/>
  <c r="B31" i="29"/>
  <c r="B32" i="29"/>
  <c r="A11" i="4"/>
  <c r="A12" i="4"/>
  <c r="A13" i="4"/>
  <c r="A14" i="4"/>
  <c r="A16" i="4"/>
  <c r="A17" i="4"/>
  <c r="B18" i="4"/>
  <c r="A19" i="4"/>
  <c r="A20" i="4"/>
  <c r="A21" i="4"/>
  <c r="A23" i="4"/>
  <c r="A24" i="4"/>
  <c r="A25" i="4"/>
  <c r="A26" i="4"/>
  <c r="A27" i="4"/>
  <c r="A28" i="4"/>
  <c r="A29" i="4"/>
  <c r="A31" i="4"/>
  <c r="A32" i="4"/>
  <c r="A33" i="4"/>
  <c r="A34" i="4"/>
  <c r="A35" i="4"/>
  <c r="A36" i="4"/>
  <c r="A38" i="4"/>
  <c r="B40" i="4"/>
  <c r="B41" i="4"/>
  <c r="B42" i="4"/>
  <c r="H3" i="28"/>
  <c r="I3" i="28"/>
  <c r="J51" i="28"/>
  <c r="K51" i="28"/>
  <c r="J53" i="28"/>
  <c r="K53" i="28"/>
  <c r="J54" i="28"/>
  <c r="K54" i="28"/>
  <c r="J55" i="28"/>
  <c r="K55" i="28"/>
  <c r="J56" i="28"/>
  <c r="K56" i="28"/>
  <c r="J57" i="28"/>
  <c r="K57" i="28"/>
  <c r="J61" i="28"/>
  <c r="K61" i="28"/>
  <c r="I63" i="28"/>
  <c r="J63" i="28"/>
  <c r="K63" i="28"/>
  <c r="J64" i="28"/>
  <c r="K64" i="28"/>
  <c r="J65" i="28"/>
  <c r="K65" i="28"/>
  <c r="J66" i="28"/>
  <c r="K66" i="28"/>
  <c r="J67" i="28"/>
  <c r="K67" i="28"/>
  <c r="H71" i="28"/>
  <c r="H73" i="28" s="1"/>
  <c r="H74" i="28" s="1"/>
  <c r="J71" i="28"/>
  <c r="K71" i="28"/>
  <c r="I73" i="28"/>
  <c r="J73" i="28"/>
  <c r="K73" i="28"/>
  <c r="J74" i="28"/>
  <c r="K74" i="28"/>
  <c r="J75" i="28"/>
  <c r="K75" i="28"/>
  <c r="J76" i="28"/>
  <c r="K76" i="28"/>
  <c r="J77" i="28"/>
  <c r="K77" i="28"/>
  <c r="J82" i="28"/>
  <c r="K82" i="28"/>
  <c r="I84" i="28"/>
  <c r="J84" i="28"/>
  <c r="K84" i="28"/>
  <c r="J85" i="28"/>
  <c r="K85" i="28"/>
  <c r="J86" i="28"/>
  <c r="K86" i="28"/>
  <c r="J87" i="28"/>
  <c r="K87" i="28"/>
  <c r="J88" i="28"/>
  <c r="K88" i="28"/>
  <c r="A5" i="3"/>
  <c r="A1" i="4" s="1"/>
  <c r="B11" i="4"/>
  <c r="D9" i="3"/>
  <c r="D17" i="3" s="1"/>
  <c r="D26" i="3" s="1"/>
  <c r="D10" i="3"/>
  <c r="D18" i="3" s="1"/>
  <c r="D27" i="3" s="1"/>
  <c r="D11" i="3"/>
  <c r="D19" i="3" s="1"/>
  <c r="D28" i="3" s="1"/>
  <c r="B13" i="3"/>
  <c r="B17" i="4" s="1"/>
  <c r="D12" i="3"/>
  <c r="D20" i="3" s="1"/>
  <c r="D29" i="3" s="1"/>
  <c r="D13" i="3"/>
  <c r="D21" i="3" s="1"/>
  <c r="D30" i="3" s="1"/>
  <c r="B19" i="3"/>
  <c r="B24" i="4" s="1"/>
  <c r="B20" i="3"/>
  <c r="B25" i="4" s="1"/>
  <c r="B21" i="3"/>
  <c r="B26" i="4" s="1"/>
  <c r="B22" i="3"/>
  <c r="B27" i="4" s="1"/>
  <c r="B24" i="3"/>
  <c r="B26" i="3"/>
  <c r="B30" i="4" s="1"/>
  <c r="B27" i="3"/>
  <c r="B31" i="4" s="1"/>
  <c r="H62" i="3"/>
  <c r="O63" i="3" s="1"/>
  <c r="V63" i="3" s="1"/>
  <c r="I62" i="3"/>
  <c r="P63" i="3" s="1"/>
  <c r="W63" i="3" s="1"/>
  <c r="B29" i="3"/>
  <c r="B32" i="4" s="1"/>
  <c r="B30" i="3"/>
  <c r="B33" i="4" s="1"/>
  <c r="B31" i="3"/>
  <c r="B34" i="4" s="1"/>
  <c r="B32" i="3"/>
  <c r="B35" i="4" s="1"/>
  <c r="B34" i="3"/>
  <c r="B37" i="4" s="1"/>
  <c r="B37" i="3"/>
  <c r="B38" i="3"/>
  <c r="B39" i="3"/>
  <c r="S61" i="3"/>
  <c r="T61" i="3" s="1"/>
  <c r="U61" i="3" s="1"/>
  <c r="V61" i="3" s="1"/>
  <c r="W61" i="3" s="1"/>
  <c r="G62" i="3"/>
  <c r="N63" i="3" s="1"/>
  <c r="U63" i="3" s="1"/>
  <c r="E68" i="3"/>
  <c r="L64" i="3" s="1"/>
  <c r="S64" i="3" s="1"/>
  <c r="F68" i="3"/>
  <c r="M67" i="3" s="1"/>
  <c r="T67" i="3" s="1"/>
  <c r="G68" i="3"/>
  <c r="N64" i="3" s="1"/>
  <c r="U64" i="3" s="1"/>
  <c r="H68" i="3"/>
  <c r="O67" i="3" s="1"/>
  <c r="V67" i="3" s="1"/>
  <c r="I68" i="3"/>
  <c r="P64" i="3" s="1"/>
  <c r="W64" i="3" s="1"/>
  <c r="E75" i="3"/>
  <c r="F75" i="3"/>
  <c r="G75" i="3"/>
  <c r="H75" i="3"/>
  <c r="I75" i="3"/>
  <c r="J75" i="3"/>
  <c r="A1" i="2"/>
  <c r="D1" i="2"/>
  <c r="D9" i="2"/>
  <c r="A14" i="2"/>
  <c r="A20" i="29" s="1"/>
  <c r="D16" i="2"/>
  <c r="D17" i="2"/>
  <c r="D18" i="2"/>
  <c r="D20" i="2"/>
  <c r="D21" i="2"/>
  <c r="D22" i="2"/>
  <c r="D23" i="2"/>
  <c r="D24" i="2"/>
  <c r="D25" i="2"/>
  <c r="D26" i="2"/>
  <c r="D27" i="2"/>
  <c r="D28" i="2"/>
  <c r="D29" i="2"/>
  <c r="D30" i="2"/>
  <c r="A32" i="2"/>
  <c r="H75" i="28"/>
  <c r="H85" i="28"/>
  <c r="F62" i="3"/>
  <c r="M63" i="3" s="1"/>
  <c r="T63" i="3" s="1"/>
  <c r="B32" i="8"/>
  <c r="B3" i="17"/>
  <c r="B4" i="17" s="1"/>
  <c r="B6" i="9"/>
  <c r="B12" i="9" s="1"/>
  <c r="C22" i="9" s="1"/>
  <c r="H21" i="7"/>
  <c r="C5" i="7"/>
  <c r="V14" i="40" s="1"/>
  <c r="C12" i="2" l="1"/>
  <c r="Q49" i="27"/>
  <c r="Q50" i="27" s="1"/>
  <c r="A33" i="29"/>
  <c r="A43" i="4"/>
  <c r="S74" i="3"/>
  <c r="S73" i="3"/>
  <c r="S71" i="3"/>
  <c r="S72" i="3"/>
  <c r="T71" i="3"/>
  <c r="T74" i="3"/>
  <c r="T72" i="3"/>
  <c r="T73" i="3"/>
  <c r="X71" i="3"/>
  <c r="X73" i="3"/>
  <c r="X72" i="3"/>
  <c r="X74" i="3"/>
  <c r="U74" i="3"/>
  <c r="U71" i="3"/>
  <c r="U73" i="3"/>
  <c r="U72" i="3"/>
  <c r="W71" i="3"/>
  <c r="W73" i="3"/>
  <c r="W72" i="3"/>
  <c r="W74" i="3"/>
  <c r="V74" i="3"/>
  <c r="V71" i="3"/>
  <c r="V73" i="3"/>
  <c r="V72" i="3"/>
  <c r="O21" i="20"/>
  <c r="Y20" i="20"/>
  <c r="D74" i="8"/>
  <c r="I74" i="8" s="1"/>
  <c r="Q29" i="27"/>
  <c r="A29" i="27" s="1"/>
  <c r="U35" i="7"/>
  <c r="I9" i="5" s="1"/>
  <c r="H9" i="17"/>
  <c r="A30" i="27"/>
  <c r="A23" i="27"/>
  <c r="D12" i="6"/>
  <c r="AR67" i="20"/>
  <c r="AS66" i="20"/>
  <c r="AI66" i="20"/>
  <c r="AQ68" i="20"/>
  <c r="V65" i="20"/>
  <c r="AF65" i="20"/>
  <c r="L65" i="20"/>
  <c r="G25" i="3"/>
  <c r="G63" i="3" s="1"/>
  <c r="J8" i="3"/>
  <c r="F9" i="5"/>
  <c r="AP12" i="20"/>
  <c r="V12" i="20"/>
  <c r="AF12" i="20"/>
  <c r="AP13" i="20"/>
  <c r="AF13" i="20"/>
  <c r="V13" i="20"/>
  <c r="AC17" i="20"/>
  <c r="C13" i="5"/>
  <c r="B16" i="3" s="1"/>
  <c r="B21" i="4" s="1"/>
  <c r="AP14" i="20"/>
  <c r="AF14" i="20"/>
  <c r="V14" i="20"/>
  <c r="W23" i="20"/>
  <c r="AI45" i="20"/>
  <c r="AS45" i="20"/>
  <c r="O7" i="19"/>
  <c r="H84" i="28"/>
  <c r="AM12" i="20"/>
  <c r="L39" i="31" s="1"/>
  <c r="I25" i="3"/>
  <c r="I63" i="3" s="1"/>
  <c r="H25" i="3"/>
  <c r="H63" i="3" s="1"/>
  <c r="O64" i="3"/>
  <c r="V64" i="3" s="1"/>
  <c r="C70" i="8"/>
  <c r="G77" i="8" s="1"/>
  <c r="I77" i="8" s="1"/>
  <c r="K50" i="16"/>
  <c r="AD72" i="8"/>
  <c r="B15" i="30"/>
  <c r="B17" i="30" s="1"/>
  <c r="B18" i="30" s="1"/>
  <c r="B19" i="30" s="1"/>
  <c r="B20" i="30" s="1"/>
  <c r="S40" i="31"/>
  <c r="C40" i="31"/>
  <c r="AN13" i="20"/>
  <c r="Z40" i="31" s="1"/>
  <c r="Q41" i="31"/>
  <c r="H82" i="28"/>
  <c r="E50" i="16"/>
  <c r="C12" i="9"/>
  <c r="N12" i="17"/>
  <c r="A22" i="4"/>
  <c r="B19" i="29"/>
  <c r="F19" i="29" s="1"/>
  <c r="B29" i="4"/>
  <c r="E7" i="3"/>
  <c r="E40" i="31"/>
  <c r="AM13" i="20"/>
  <c r="L40" i="31" s="1"/>
  <c r="F25" i="3"/>
  <c r="F63" i="3" s="1"/>
  <c r="C41" i="31"/>
  <c r="R39" i="31"/>
  <c r="AD12" i="20"/>
  <c r="Y39" i="31" s="1"/>
  <c r="S41" i="31"/>
  <c r="T39" i="31"/>
  <c r="H76" i="28"/>
  <c r="H86" i="28"/>
  <c r="T40" i="31"/>
  <c r="F39" i="31"/>
  <c r="A14" i="20"/>
  <c r="C39" i="31"/>
  <c r="J12" i="20"/>
  <c r="W39" i="31" s="1"/>
  <c r="I12" i="20"/>
  <c r="I39" i="31" s="1"/>
  <c r="AD74" i="8"/>
  <c r="AD76" i="8"/>
  <c r="AD73" i="8"/>
  <c r="P48" i="31"/>
  <c r="D39" i="31"/>
  <c r="J13" i="20"/>
  <c r="W40" i="31" s="1"/>
  <c r="S39" i="31"/>
  <c r="AN12" i="20"/>
  <c r="Z39" i="31" s="1"/>
  <c r="B48" i="31"/>
  <c r="A25" i="27"/>
  <c r="A24" i="27"/>
  <c r="A11" i="10"/>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31" i="9"/>
  <c r="A10" i="15"/>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10" i="22"/>
  <c r="A19" i="1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16" i="12"/>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11" i="17"/>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92" i="8"/>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B37" i="7"/>
  <c r="A11" i="14"/>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12" i="13"/>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L67" i="3"/>
  <c r="S67" i="3" s="1"/>
  <c r="L66" i="3"/>
  <c r="S66" i="3" s="1"/>
  <c r="P67" i="3"/>
  <c r="W67" i="3" s="1"/>
  <c r="L65" i="3"/>
  <c r="S65" i="3" s="1"/>
  <c r="P66" i="3"/>
  <c r="W66" i="3" s="1"/>
  <c r="P65" i="3"/>
  <c r="W65" i="3" s="1"/>
  <c r="A28" i="27"/>
  <c r="B10" i="29"/>
  <c r="B20" i="4"/>
  <c r="C15" i="3"/>
  <c r="C16" i="3" s="1"/>
  <c r="A26" i="3"/>
  <c r="A30" i="4" s="1"/>
  <c r="B22" i="5"/>
  <c r="G27" i="9"/>
  <c r="F27" i="9"/>
  <c r="N67" i="3"/>
  <c r="U67" i="3" s="1"/>
  <c r="N66" i="3"/>
  <c r="U66" i="3" s="1"/>
  <c r="E25" i="3"/>
  <c r="E63" i="3" s="1"/>
  <c r="M64" i="3"/>
  <c r="T64" i="3" s="1"/>
  <c r="O65" i="3"/>
  <c r="V65" i="3" s="1"/>
  <c r="O66" i="3"/>
  <c r="V66" i="3" s="1"/>
  <c r="B9" i="3"/>
  <c r="B13" i="4" s="1"/>
  <c r="N65" i="3"/>
  <c r="U65" i="3" s="1"/>
  <c r="M66" i="3"/>
  <c r="T66" i="3" s="1"/>
  <c r="M65" i="3"/>
  <c r="T65" i="3" s="1"/>
  <c r="B8" i="3"/>
  <c r="B12" i="4" s="1"/>
  <c r="B4" i="29"/>
  <c r="B10" i="9"/>
  <c r="F74" i="2"/>
  <c r="O21" i="7"/>
  <c r="B26" i="8"/>
  <c r="AH2" i="22"/>
  <c r="C4" i="5"/>
  <c r="D7" i="3" l="1"/>
  <c r="I8" i="3" s="1"/>
  <c r="Q51" i="27"/>
  <c r="Q52" i="27" s="1"/>
  <c r="Q53" i="27" s="1"/>
  <c r="B21" i="30"/>
  <c r="B22" i="30" s="1"/>
  <c r="B23" i="30" s="1"/>
  <c r="B24" i="30" s="1"/>
  <c r="B25" i="30" s="1"/>
  <c r="B27" i="30" s="1"/>
  <c r="B28" i="30" s="1"/>
  <c r="B29" i="30" s="1"/>
  <c r="B30" i="30" s="1"/>
  <c r="B31" i="30" s="1"/>
  <c r="B32" i="30" s="1"/>
  <c r="B33" i="30" s="1"/>
  <c r="B34" i="30" s="1"/>
  <c r="B35" i="30" s="1"/>
  <c r="B36" i="30" s="1"/>
  <c r="B37" i="30" s="1"/>
  <c r="B38" i="30" s="1"/>
  <c r="B40" i="30" s="1"/>
  <c r="C17" i="2"/>
  <c r="O19" i="27"/>
  <c r="O18" i="27"/>
  <c r="Y21" i="20"/>
  <c r="O22" i="20"/>
  <c r="B38" i="7"/>
  <c r="B16" i="40"/>
  <c r="B67" i="8"/>
  <c r="C16" i="2"/>
  <c r="O4" i="19"/>
  <c r="B10" i="3" s="1"/>
  <c r="B14" i="4" s="1"/>
  <c r="O5" i="19"/>
  <c r="B5" i="17" s="1"/>
  <c r="H2" i="39" s="1"/>
  <c r="AS67" i="20"/>
  <c r="AI67" i="20"/>
  <c r="AF66" i="20"/>
  <c r="L66" i="20"/>
  <c r="V66" i="20"/>
  <c r="AR68" i="20"/>
  <c r="AQ69" i="20"/>
  <c r="AN14" i="20"/>
  <c r="Z41" i="31" s="1"/>
  <c r="AC18" i="20"/>
  <c r="AS46" i="20"/>
  <c r="AI46" i="20"/>
  <c r="B11" i="29"/>
  <c r="W24" i="20"/>
  <c r="O6" i="19"/>
  <c r="O8" i="19" s="1"/>
  <c r="O3" i="19"/>
  <c r="M62" i="3"/>
  <c r="L11" i="17"/>
  <c r="H11" i="17" s="1"/>
  <c r="L50" i="16"/>
  <c r="Q50" i="16" s="1"/>
  <c r="AL1" i="22"/>
  <c r="H87" i="28"/>
  <c r="H77" i="28"/>
  <c r="H88" i="28" s="1"/>
  <c r="E41" i="31"/>
  <c r="AM14" i="20"/>
  <c r="L41" i="31" s="1"/>
  <c r="I14" i="20"/>
  <c r="I41" i="31" s="1"/>
  <c r="J14" i="20"/>
  <c r="W41" i="31" s="1"/>
  <c r="A41" i="31"/>
  <c r="H41" i="31" s="1"/>
  <c r="O41" i="31" s="1"/>
  <c r="V41" i="31" s="1"/>
  <c r="A15" i="20"/>
  <c r="N13" i="17"/>
  <c r="T41" i="31"/>
  <c r="P49" i="31"/>
  <c r="F40" i="31"/>
  <c r="R40" i="31"/>
  <c r="AD13" i="20"/>
  <c r="Y40" i="31" s="1"/>
  <c r="C42" i="31"/>
  <c r="Q42" i="31"/>
  <c r="B49" i="31"/>
  <c r="D40" i="31"/>
  <c r="AC13" i="20"/>
  <c r="K40" i="31" s="1"/>
  <c r="S42" i="31"/>
  <c r="AN15" i="20"/>
  <c r="Z42" i="31" s="1"/>
  <c r="A32" i="9"/>
  <c r="B31" i="9"/>
  <c r="P62" i="3"/>
  <c r="N62" i="3"/>
  <c r="L62" i="3"/>
  <c r="O62" i="3"/>
  <c r="G16" i="3"/>
  <c r="F16" i="3" s="1"/>
  <c r="E16" i="3" s="1"/>
  <c r="I16" i="3"/>
  <c r="J16" i="3" s="1"/>
  <c r="K16" i="3" s="1"/>
  <c r="F5" i="2"/>
  <c r="D4" i="2"/>
  <c r="B68" i="8"/>
  <c r="AI1" i="22"/>
  <c r="AH1" i="22"/>
  <c r="K8" i="3" l="1"/>
  <c r="H70" i="3" s="1"/>
  <c r="V70" i="3" s="1"/>
  <c r="G70" i="3"/>
  <c r="U70" i="3" s="1"/>
  <c r="H8" i="3"/>
  <c r="G8" i="3" s="1"/>
  <c r="F8" i="3" s="1"/>
  <c r="E8" i="3" s="1"/>
  <c r="E70" i="3" s="1"/>
  <c r="S70" i="3" s="1"/>
  <c r="R48" i="27"/>
  <c r="S48" i="27" s="1" a="1"/>
  <c r="S48" i="27" s="1"/>
  <c r="T48" i="27" s="1"/>
  <c r="R49" i="27"/>
  <c r="S49" i="27" s="1" a="1"/>
  <c r="S49" i="27" s="1"/>
  <c r="T49" i="27" s="1"/>
  <c r="C39" i="5" s="1"/>
  <c r="R50" i="27"/>
  <c r="S50" i="27" s="1" a="1"/>
  <c r="S50" i="27" s="1"/>
  <c r="R51" i="27"/>
  <c r="S51" i="27" s="1" a="1"/>
  <c r="S51" i="27" s="1"/>
  <c r="R52" i="27"/>
  <c r="S52" i="27" s="1" a="1"/>
  <c r="S52" i="27" s="1"/>
  <c r="T52" i="27" s="1"/>
  <c r="R53" i="27"/>
  <c r="C18" i="2"/>
  <c r="C38" i="2" s="1"/>
  <c r="C6" i="7" s="1"/>
  <c r="W14" i="40" s="1"/>
  <c r="D75" i="8"/>
  <c r="I75" i="8" s="1"/>
  <c r="R46" i="27"/>
  <c r="S46" i="27" s="1" a="1"/>
  <c r="S46" i="27" s="1"/>
  <c r="T46" i="27" s="1"/>
  <c r="B34" i="29" s="1"/>
  <c r="R47" i="27"/>
  <c r="S47" i="27" s="1" a="1"/>
  <c r="S47" i="27" s="1"/>
  <c r="T47" i="27" s="1"/>
  <c r="O23" i="20"/>
  <c r="Y22" i="20"/>
  <c r="O154" i="19"/>
  <c r="O97" i="19"/>
  <c r="O98" i="19"/>
  <c r="B39" i="7"/>
  <c r="B17" i="40"/>
  <c r="L8" i="3"/>
  <c r="M8" i="3" s="1"/>
  <c r="N8" i="3" s="1"/>
  <c r="O8" i="3" s="1"/>
  <c r="J70" i="3" s="1"/>
  <c r="X70" i="3" s="1"/>
  <c r="D72" i="2"/>
  <c r="D73" i="2" s="1"/>
  <c r="O11" i="17"/>
  <c r="B6" i="29"/>
  <c r="G2" i="6"/>
  <c r="P11" i="17"/>
  <c r="F11" i="17"/>
  <c r="E11" i="17"/>
  <c r="G11" i="17"/>
  <c r="AF67" i="20"/>
  <c r="L67" i="20"/>
  <c r="V67" i="20"/>
  <c r="AQ70" i="20"/>
  <c r="AR69" i="20"/>
  <c r="AI68" i="20"/>
  <c r="AS68" i="20"/>
  <c r="P8" i="19"/>
  <c r="O81" i="19"/>
  <c r="J63" i="8" s="1"/>
  <c r="O74" i="19"/>
  <c r="O149" i="19"/>
  <c r="O77" i="19"/>
  <c r="O152" i="19"/>
  <c r="O100" i="19"/>
  <c r="O30" i="19"/>
  <c r="O58" i="19"/>
  <c r="O10" i="19"/>
  <c r="D21" i="7" s="1"/>
  <c r="I21" i="7" s="1"/>
  <c r="W25" i="20"/>
  <c r="O83" i="19"/>
  <c r="O118" i="19"/>
  <c r="O113" i="19"/>
  <c r="AS47" i="20"/>
  <c r="AI47" i="20"/>
  <c r="O89" i="19"/>
  <c r="C15" i="7"/>
  <c r="J68" i="8"/>
  <c r="O135" i="19"/>
  <c r="AC19" i="20"/>
  <c r="O124" i="19"/>
  <c r="O38" i="19"/>
  <c r="O128" i="19"/>
  <c r="O95" i="19"/>
  <c r="O129" i="19"/>
  <c r="O94" i="19"/>
  <c r="O47" i="19"/>
  <c r="O80" i="19"/>
  <c r="O130" i="19"/>
  <c r="O126" i="19"/>
  <c r="O21" i="19"/>
  <c r="O66" i="19"/>
  <c r="O36" i="19"/>
  <c r="O105" i="19"/>
  <c r="O148" i="19"/>
  <c r="O24" i="19"/>
  <c r="O121" i="19"/>
  <c r="O120" i="19"/>
  <c r="O141" i="19"/>
  <c r="O14" i="19"/>
  <c r="E22" i="7" s="1"/>
  <c r="K22" i="7" s="1"/>
  <c r="O112" i="19"/>
  <c r="O43" i="19"/>
  <c r="O13" i="19"/>
  <c r="F22" i="7" s="1"/>
  <c r="O44" i="19"/>
  <c r="O55" i="19"/>
  <c r="O46" i="19"/>
  <c r="O45" i="19"/>
  <c r="O29" i="19"/>
  <c r="O91" i="19"/>
  <c r="O50" i="19"/>
  <c r="O68" i="19"/>
  <c r="O153" i="19"/>
  <c r="O56" i="19"/>
  <c r="O96" i="19"/>
  <c r="O51" i="19"/>
  <c r="O71" i="19"/>
  <c r="O107" i="19"/>
  <c r="O72" i="19"/>
  <c r="O23" i="8" s="1"/>
  <c r="O134" i="19"/>
  <c r="O111" i="19"/>
  <c r="O54" i="19"/>
  <c r="O15" i="19"/>
  <c r="D24" i="7" s="1"/>
  <c r="I24" i="7" s="1"/>
  <c r="O19" i="19"/>
  <c r="O11" i="19"/>
  <c r="F21" i="7" s="1"/>
  <c r="O61" i="19"/>
  <c r="O145" i="19"/>
  <c r="O136" i="19"/>
  <c r="O133" i="19"/>
  <c r="O28" i="19"/>
  <c r="O82" i="19"/>
  <c r="B79" i="8" s="1"/>
  <c r="O31" i="19"/>
  <c r="O87" i="19"/>
  <c r="O60" i="19"/>
  <c r="O125" i="19"/>
  <c r="C14" i="5"/>
  <c r="B17" i="3" s="1"/>
  <c r="B22" i="4" s="1"/>
  <c r="O140" i="19"/>
  <c r="O104" i="19"/>
  <c r="O123" i="19"/>
  <c r="O109" i="19"/>
  <c r="O37" i="19"/>
  <c r="O57" i="19"/>
  <c r="O63" i="19"/>
  <c r="O144" i="19"/>
  <c r="O59" i="19"/>
  <c r="O110" i="19"/>
  <c r="O20" i="19"/>
  <c r="O12" i="19"/>
  <c r="D22" i="7" s="1"/>
  <c r="I22" i="7" s="1"/>
  <c r="O119" i="19"/>
  <c r="O23" i="19"/>
  <c r="O65" i="19"/>
  <c r="O78" i="19"/>
  <c r="O42" i="19"/>
  <c r="O143" i="19"/>
  <c r="O27" i="19"/>
  <c r="O79" i="19"/>
  <c r="O35" i="19"/>
  <c r="O92" i="19"/>
  <c r="O88" i="19"/>
  <c r="O90" i="19"/>
  <c r="O101" i="19"/>
  <c r="O34" i="19"/>
  <c r="O137" i="19"/>
  <c r="O69" i="19"/>
  <c r="O62" i="19"/>
  <c r="O18" i="19"/>
  <c r="O67" i="19"/>
  <c r="O73" i="19"/>
  <c r="O142" i="19"/>
  <c r="O16" i="19"/>
  <c r="F24" i="7" s="1"/>
  <c r="L24" i="7" s="1"/>
  <c r="O108" i="19"/>
  <c r="O17" i="19"/>
  <c r="E24" i="7" s="1"/>
  <c r="K24" i="7" s="1"/>
  <c r="O22" i="19"/>
  <c r="O93" i="19"/>
  <c r="O84" i="19"/>
  <c r="O106" i="19"/>
  <c r="O64" i="19"/>
  <c r="O41" i="19"/>
  <c r="O131" i="19"/>
  <c r="O70" i="19"/>
  <c r="L12" i="17"/>
  <c r="H12" i="17" s="1"/>
  <c r="F41" i="31"/>
  <c r="P50" i="31"/>
  <c r="C43" i="31"/>
  <c r="Q43" i="31"/>
  <c r="T42" i="31"/>
  <c r="S43" i="31"/>
  <c r="AN16" i="20"/>
  <c r="Z43" i="31" s="1"/>
  <c r="D41" i="31"/>
  <c r="AC14" i="20"/>
  <c r="K41" i="31" s="1"/>
  <c r="R41" i="31"/>
  <c r="AD14" i="20"/>
  <c r="Y41" i="31" s="1"/>
  <c r="B50" i="31"/>
  <c r="A42" i="31"/>
  <c r="H42" i="31" s="1"/>
  <c r="O42" i="31" s="1"/>
  <c r="V42" i="31" s="1"/>
  <c r="N14" i="17"/>
  <c r="A16" i="20"/>
  <c r="I15" i="20"/>
  <c r="I42" i="31" s="1"/>
  <c r="J15" i="20"/>
  <c r="W42" i="31" s="1"/>
  <c r="AM15" i="20"/>
  <c r="L42" i="31" s="1"/>
  <c r="E42" i="31"/>
  <c r="B32" i="9"/>
  <c r="A33" i="9"/>
  <c r="S62" i="3"/>
  <c r="T62" i="3"/>
  <c r="U62" i="3"/>
  <c r="V62" i="3"/>
  <c r="W62" i="3"/>
  <c r="AJ1" i="22"/>
  <c r="BT7" i="22" s="1"/>
  <c r="F70" i="3" l="1"/>
  <c r="T70" i="3" s="1"/>
  <c r="A42" i="2"/>
  <c r="A46" i="4"/>
  <c r="A43" i="3"/>
  <c r="A36" i="29"/>
  <c r="B38" i="5"/>
  <c r="B44" i="3"/>
  <c r="B37" i="29"/>
  <c r="B39" i="5"/>
  <c r="A47" i="4"/>
  <c r="A37" i="29"/>
  <c r="B47" i="4"/>
  <c r="A44" i="3"/>
  <c r="A46" i="2"/>
  <c r="B43" i="2"/>
  <c r="T50" i="27"/>
  <c r="B44" i="2" s="1"/>
  <c r="A48" i="4"/>
  <c r="B40" i="5"/>
  <c r="A43" i="2"/>
  <c r="A44" i="2"/>
  <c r="T51" i="27"/>
  <c r="A46" i="3"/>
  <c r="B41" i="5"/>
  <c r="A45" i="2"/>
  <c r="A39" i="29"/>
  <c r="A45" i="3"/>
  <c r="S53" i="27" a="1"/>
  <c r="S53" i="27" s="1"/>
  <c r="A47" i="2" s="1"/>
  <c r="A49" i="4"/>
  <c r="A38" i="29"/>
  <c r="B3" i="11"/>
  <c r="B11" i="11"/>
  <c r="P87" i="19"/>
  <c r="B80" i="8"/>
  <c r="B44" i="4"/>
  <c r="A40" i="2"/>
  <c r="B36" i="5"/>
  <c r="A34" i="29"/>
  <c r="C36" i="5"/>
  <c r="B40" i="2"/>
  <c r="A41" i="3"/>
  <c r="A44" i="4"/>
  <c r="B41" i="3"/>
  <c r="A41" i="2"/>
  <c r="A42" i="3"/>
  <c r="A35" i="29"/>
  <c r="B37" i="5"/>
  <c r="A45" i="4"/>
  <c r="C38" i="5"/>
  <c r="B46" i="4"/>
  <c r="B42" i="2"/>
  <c r="B43" i="3"/>
  <c r="B36" i="29"/>
  <c r="A50" i="4"/>
  <c r="A40" i="29"/>
  <c r="B42" i="5"/>
  <c r="A47" i="3"/>
  <c r="B46" i="2"/>
  <c r="B9" i="11"/>
  <c r="L5" i="12"/>
  <c r="B10" i="11"/>
  <c r="O24" i="20"/>
  <c r="Y23" i="20"/>
  <c r="B40" i="7"/>
  <c r="B18" i="40"/>
  <c r="J61" i="8"/>
  <c r="L1" i="12"/>
  <c r="J74" i="2"/>
  <c r="J5" i="2" s="1"/>
  <c r="V35" i="7"/>
  <c r="I10" i="5" s="1"/>
  <c r="C7" i="7"/>
  <c r="M74" i="2" s="1"/>
  <c r="M5" i="2" s="1"/>
  <c r="I70" i="3"/>
  <c r="W70" i="3" s="1"/>
  <c r="P94" i="19"/>
  <c r="J62" i="8"/>
  <c r="O12" i="17"/>
  <c r="B7" i="11"/>
  <c r="B8" i="11"/>
  <c r="J59" i="8"/>
  <c r="J60" i="8"/>
  <c r="H31" i="6"/>
  <c r="H11" i="6"/>
  <c r="H21" i="6"/>
  <c r="P12" i="17"/>
  <c r="P91" i="19"/>
  <c r="D23" i="7"/>
  <c r="F23" i="7" s="1"/>
  <c r="L23" i="7" s="1"/>
  <c r="P92" i="19"/>
  <c r="P90" i="19"/>
  <c r="P93" i="19"/>
  <c r="P88" i="19"/>
  <c r="V42" i="19"/>
  <c r="V43" i="19" s="1"/>
  <c r="P89" i="19"/>
  <c r="E22" i="8"/>
  <c r="F22" i="8" s="1"/>
  <c r="P96" i="19"/>
  <c r="B12" i="29"/>
  <c r="P95" i="19"/>
  <c r="F12" i="17"/>
  <c r="G12" i="17"/>
  <c r="E12" i="17"/>
  <c r="D11" i="17"/>
  <c r="C11" i="17"/>
  <c r="B11" i="17"/>
  <c r="J11" i="10" s="1"/>
  <c r="V68" i="20"/>
  <c r="AF68" i="20"/>
  <c r="L68" i="20"/>
  <c r="AS69" i="20"/>
  <c r="AI69" i="20"/>
  <c r="AQ71" i="20"/>
  <c r="AR70" i="20"/>
  <c r="J21" i="7"/>
  <c r="H22" i="7" s="1"/>
  <c r="AC20" i="20"/>
  <c r="M23" i="8"/>
  <c r="N23" i="8" s="1"/>
  <c r="P23" i="8" s="1"/>
  <c r="AS48" i="20"/>
  <c r="AI48" i="20"/>
  <c r="J66" i="8"/>
  <c r="W26" i="20"/>
  <c r="E20" i="8"/>
  <c r="F20" i="8" s="1"/>
  <c r="X42" i="19"/>
  <c r="X43" i="19" s="1"/>
  <c r="R42" i="19"/>
  <c r="R43" i="19" s="1"/>
  <c r="S42" i="19"/>
  <c r="S43" i="19" s="1"/>
  <c r="E21" i="8"/>
  <c r="F21" i="8" s="1"/>
  <c r="E18" i="8"/>
  <c r="F18" i="8" s="1"/>
  <c r="E17" i="8"/>
  <c r="W42" i="19"/>
  <c r="W43" i="19" s="1"/>
  <c r="T42" i="19"/>
  <c r="T43" i="19" s="1"/>
  <c r="Y42" i="19"/>
  <c r="Y43" i="19" s="1"/>
  <c r="R41" i="19"/>
  <c r="U42" i="19"/>
  <c r="U43" i="19" s="1"/>
  <c r="M24" i="8"/>
  <c r="N24" i="8" s="1"/>
  <c r="C21" i="8"/>
  <c r="D21" i="8" s="1"/>
  <c r="B6" i="11"/>
  <c r="Y41" i="19"/>
  <c r="S41" i="19"/>
  <c r="T41" i="19"/>
  <c r="W41" i="19"/>
  <c r="V41" i="19"/>
  <c r="C20" i="8"/>
  <c r="D20" i="8" s="1"/>
  <c r="X41" i="19"/>
  <c r="U41" i="19"/>
  <c r="L13" i="17"/>
  <c r="H13" i="17" s="1"/>
  <c r="E43" i="31"/>
  <c r="AM16" i="20"/>
  <c r="L43" i="31" s="1"/>
  <c r="Q44" i="31"/>
  <c r="P51" i="31"/>
  <c r="J16" i="20"/>
  <c r="W43" i="31" s="1"/>
  <c r="I16" i="20"/>
  <c r="I43" i="31" s="1"/>
  <c r="B51" i="31"/>
  <c r="S44" i="31"/>
  <c r="AN17" i="20"/>
  <c r="Z44" i="31" s="1"/>
  <c r="T43" i="31"/>
  <c r="C44" i="31"/>
  <c r="A43" i="31"/>
  <c r="H43" i="31" s="1"/>
  <c r="O43" i="31" s="1"/>
  <c r="V43" i="31" s="1"/>
  <c r="N15" i="17"/>
  <c r="A17" i="20"/>
  <c r="F42" i="31"/>
  <c r="R42" i="31"/>
  <c r="AD15" i="20"/>
  <c r="Y42" i="31" s="1"/>
  <c r="D42" i="31"/>
  <c r="AC15" i="20"/>
  <c r="K42" i="31" s="1"/>
  <c r="BE7" i="22"/>
  <c r="BE10" i="22" s="1"/>
  <c r="AZ7" i="22"/>
  <c r="AZ10" i="22" s="1"/>
  <c r="AJ7" i="22"/>
  <c r="AJ10" i="22" s="1"/>
  <c r="AK7" i="22"/>
  <c r="AK10" i="22" s="1"/>
  <c r="AM7" i="22"/>
  <c r="AM10" i="22" s="1"/>
  <c r="AU7" i="22"/>
  <c r="AU10" i="22" s="1"/>
  <c r="AW7" i="22"/>
  <c r="AW10" i="22" s="1"/>
  <c r="AP7" i="22"/>
  <c r="AP10" i="22" s="1"/>
  <c r="CH7" i="22"/>
  <c r="CH10" i="22" s="1"/>
  <c r="AT7" i="22"/>
  <c r="AT10" i="22" s="1"/>
  <c r="BR7" i="22"/>
  <c r="BR10" i="22" s="1"/>
  <c r="CB7" i="22"/>
  <c r="CB10" i="22" s="1"/>
  <c r="BY7" i="22"/>
  <c r="BY10" i="22" s="1"/>
  <c r="CG7" i="22"/>
  <c r="CG10" i="22" s="1"/>
  <c r="BJ7" i="22"/>
  <c r="BJ10" i="22" s="1"/>
  <c r="BC7" i="22"/>
  <c r="BC10" i="22" s="1"/>
  <c r="CE7" i="22"/>
  <c r="CE10" i="22" s="1"/>
  <c r="BD7" i="22"/>
  <c r="BD10" i="22" s="1"/>
  <c r="BQ7" i="22"/>
  <c r="BQ10" i="22" s="1"/>
  <c r="BF7" i="22"/>
  <c r="BF10" i="22" s="1"/>
  <c r="AL7" i="22"/>
  <c r="AL10" i="22" s="1"/>
  <c r="AH7" i="22"/>
  <c r="BV7" i="22"/>
  <c r="BV10" i="22" s="1"/>
  <c r="AQ7" i="22"/>
  <c r="AQ10" i="22" s="1"/>
  <c r="AY7" i="22"/>
  <c r="AY10" i="22" s="1"/>
  <c r="AS7" i="22"/>
  <c r="AS10" i="22" s="1"/>
  <c r="BS7" i="22"/>
  <c r="BS10" i="22" s="1"/>
  <c r="BO7" i="22"/>
  <c r="BO10" i="22" s="1"/>
  <c r="CA7" i="22"/>
  <c r="CA10" i="22" s="1"/>
  <c r="BG7" i="22"/>
  <c r="BG10" i="22" s="1"/>
  <c r="BM7" i="22"/>
  <c r="BM10" i="22" s="1"/>
  <c r="AX7" i="22"/>
  <c r="AX10" i="22" s="1"/>
  <c r="BB7" i="22"/>
  <c r="BB10" i="22" s="1"/>
  <c r="CI7" i="22"/>
  <c r="CI10" i="22" s="1"/>
  <c r="BW7" i="22"/>
  <c r="BW10" i="22" s="1"/>
  <c r="CF7" i="22"/>
  <c r="CF10" i="22" s="1"/>
  <c r="AV7" i="22"/>
  <c r="AV10" i="22" s="1"/>
  <c r="BP7" i="22"/>
  <c r="BP10" i="22" s="1"/>
  <c r="AI7" i="22"/>
  <c r="AI10" i="22" s="1"/>
  <c r="BX7" i="22"/>
  <c r="BX10" i="22" s="1"/>
  <c r="CC7" i="22"/>
  <c r="CC10" i="22" s="1"/>
  <c r="BN7" i="22"/>
  <c r="BN10" i="22" s="1"/>
  <c r="BH7" i="22"/>
  <c r="BH10" i="22" s="1"/>
  <c r="BA7" i="22"/>
  <c r="BA10" i="22" s="1"/>
  <c r="BU7" i="22"/>
  <c r="BU10" i="22" s="1"/>
  <c r="BL7" i="22"/>
  <c r="BL10" i="22" s="1"/>
  <c r="BZ7" i="22"/>
  <c r="BZ10" i="22" s="1"/>
  <c r="CD7" i="22"/>
  <c r="CD10" i="22" s="1"/>
  <c r="AN7" i="22"/>
  <c r="AN10" i="22" s="1"/>
  <c r="BI7" i="22"/>
  <c r="BI10" i="22" s="1"/>
  <c r="BK7" i="22"/>
  <c r="BK10" i="22" s="1"/>
  <c r="AR7" i="22"/>
  <c r="AR10" i="22" s="1"/>
  <c r="AO7" i="22"/>
  <c r="AO10" i="22" s="1"/>
  <c r="A34" i="9"/>
  <c r="B33" i="9"/>
  <c r="BT10" i="22"/>
  <c r="B45" i="3" l="1"/>
  <c r="C40" i="5"/>
  <c r="B48" i="4"/>
  <c r="B38" i="29"/>
  <c r="B39" i="29"/>
  <c r="B49" i="4"/>
  <c r="B46" i="3"/>
  <c r="C41" i="5"/>
  <c r="B45" i="2"/>
  <c r="T53" i="27"/>
  <c r="B47" i="2" s="1"/>
  <c r="B74" i="8"/>
  <c r="N74" i="8" s="1"/>
  <c r="B45" i="4"/>
  <c r="B35" i="29"/>
  <c r="B41" i="2"/>
  <c r="C37" i="5"/>
  <c r="B42" i="3"/>
  <c r="B47" i="3"/>
  <c r="C42" i="5"/>
  <c r="B50" i="4"/>
  <c r="B40" i="29"/>
  <c r="B75" i="8"/>
  <c r="N75" i="8" s="1"/>
  <c r="Y24" i="20"/>
  <c r="O25" i="20"/>
  <c r="B41" i="7"/>
  <c r="B19" i="40"/>
  <c r="C8" i="7"/>
  <c r="P74" i="2" s="1"/>
  <c r="P5" i="2" s="1"/>
  <c r="O13" i="17"/>
  <c r="I23" i="7"/>
  <c r="P13" i="17"/>
  <c r="F13" i="17"/>
  <c r="G13" i="17"/>
  <c r="E13" i="17"/>
  <c r="B12" i="17"/>
  <c r="J12" i="10" s="1"/>
  <c r="C12" i="17"/>
  <c r="D12" i="17"/>
  <c r="AQ72" i="20"/>
  <c r="AS70" i="20"/>
  <c r="AI70" i="20"/>
  <c r="AR71" i="20"/>
  <c r="V69" i="20"/>
  <c r="L69" i="20"/>
  <c r="AF69" i="20"/>
  <c r="X44" i="19"/>
  <c r="V44" i="19"/>
  <c r="J22" i="7"/>
  <c r="H23" i="7" s="1"/>
  <c r="D13" i="6"/>
  <c r="Q21" i="7"/>
  <c r="P21" i="7"/>
  <c r="O22" i="7"/>
  <c r="T44" i="19"/>
  <c r="S44" i="19"/>
  <c r="W27" i="20"/>
  <c r="AI49" i="20"/>
  <c r="AS49" i="20"/>
  <c r="R44" i="19"/>
  <c r="AC21" i="20"/>
  <c r="Y44" i="19"/>
  <c r="W44" i="19"/>
  <c r="C22" i="8"/>
  <c r="F17" i="8"/>
  <c r="U44" i="19"/>
  <c r="L14" i="17"/>
  <c r="H14" i="17" s="1"/>
  <c r="AH10" i="22"/>
  <c r="AG10" i="22"/>
  <c r="A44" i="31"/>
  <c r="H44" i="31" s="1"/>
  <c r="O44" i="31" s="1"/>
  <c r="V44" i="31" s="1"/>
  <c r="A18" i="20"/>
  <c r="N16" i="17"/>
  <c r="T44" i="31"/>
  <c r="J17" i="20"/>
  <c r="W44" i="31" s="1"/>
  <c r="I17" i="20"/>
  <c r="I44" i="31" s="1"/>
  <c r="P52" i="31"/>
  <c r="P24" i="8"/>
  <c r="D22" i="8"/>
  <c r="S45" i="31"/>
  <c r="AN18" i="20"/>
  <c r="Z45" i="31" s="1"/>
  <c r="E44" i="31"/>
  <c r="AM17" i="20"/>
  <c r="L44" i="31" s="1"/>
  <c r="C45" i="31"/>
  <c r="D43" i="31"/>
  <c r="AC16" i="20"/>
  <c r="K43" i="31" s="1"/>
  <c r="R43" i="31"/>
  <c r="AD16" i="20"/>
  <c r="Y43" i="31" s="1"/>
  <c r="F43" i="31"/>
  <c r="B52" i="31"/>
  <c r="Q45" i="31"/>
  <c r="A35" i="9"/>
  <c r="B34" i="9"/>
  <c r="O75" i="8" l="1"/>
  <c r="P75" i="8"/>
  <c r="Y25" i="20"/>
  <c r="O26" i="20"/>
  <c r="B42" i="7"/>
  <c r="C42" i="7" s="1"/>
  <c r="B20" i="40"/>
  <c r="C9" i="7"/>
  <c r="AG28" i="9" s="1"/>
  <c r="AH28" i="9" s="1"/>
  <c r="AI28" i="9" s="1"/>
  <c r="BS89" i="8"/>
  <c r="I13" i="5" s="1"/>
  <c r="Z16" i="40"/>
  <c r="AF10" i="22"/>
  <c r="O14" i="17"/>
  <c r="P74" i="8"/>
  <c r="O74" i="8"/>
  <c r="P14" i="17"/>
  <c r="F14" i="17"/>
  <c r="G14" i="17"/>
  <c r="E14" i="17"/>
  <c r="D13" i="17"/>
  <c r="B13" i="17"/>
  <c r="J13" i="10" s="1"/>
  <c r="C13" i="17"/>
  <c r="AR72" i="20"/>
  <c r="AS71" i="20"/>
  <c r="AI71" i="20"/>
  <c r="AF70" i="20"/>
  <c r="L70" i="20"/>
  <c r="V70" i="20"/>
  <c r="AQ73" i="20"/>
  <c r="F10" i="5"/>
  <c r="D22" i="6"/>
  <c r="O23" i="7"/>
  <c r="J23" i="7"/>
  <c r="H24" i="7" s="1"/>
  <c r="P22" i="7"/>
  <c r="Q22" i="7"/>
  <c r="C39" i="7"/>
  <c r="C40" i="7"/>
  <c r="C41" i="7"/>
  <c r="AC22" i="20"/>
  <c r="W28" i="20"/>
  <c r="AI50" i="20"/>
  <c r="AS50" i="20"/>
  <c r="L15" i="17"/>
  <c r="H15" i="17" s="1"/>
  <c r="F44" i="31"/>
  <c r="A45" i="31"/>
  <c r="H45" i="31" s="1"/>
  <c r="O45" i="31" s="1"/>
  <c r="V45" i="31" s="1"/>
  <c r="N17" i="17"/>
  <c r="A19" i="20"/>
  <c r="T45" i="31"/>
  <c r="Q46" i="31"/>
  <c r="D44" i="31"/>
  <c r="K44" i="31"/>
  <c r="C46" i="31"/>
  <c r="E45" i="31"/>
  <c r="AM18" i="20"/>
  <c r="L45" i="31" s="1"/>
  <c r="S46" i="31"/>
  <c r="AN19" i="20"/>
  <c r="Z46" i="31" s="1"/>
  <c r="J18" i="20"/>
  <c r="W45" i="31" s="1"/>
  <c r="I18" i="20"/>
  <c r="I45" i="31" s="1"/>
  <c r="B53" i="31"/>
  <c r="R44" i="31"/>
  <c r="AD17" i="20"/>
  <c r="Y44" i="31" s="1"/>
  <c r="P53" i="31"/>
  <c r="A36" i="9"/>
  <c r="B35" i="9"/>
  <c r="O27" i="20" l="1"/>
  <c r="Y26" i="20"/>
  <c r="B43" i="7"/>
  <c r="D43" i="7" s="1"/>
  <c r="B21" i="40"/>
  <c r="I11" i="2"/>
  <c r="BT89" i="8"/>
  <c r="BU89" i="8" s="1"/>
  <c r="BV89" i="8" s="1"/>
  <c r="BW89" i="8" s="1"/>
  <c r="BX89" i="8" s="1"/>
  <c r="BY89" i="8" s="1"/>
  <c r="CB89" i="8" s="1"/>
  <c r="Q16" i="40"/>
  <c r="O15" i="17"/>
  <c r="H4" i="2"/>
  <c r="P15" i="17"/>
  <c r="E15" i="17"/>
  <c r="G15" i="17"/>
  <c r="F15" i="17"/>
  <c r="C14" i="17"/>
  <c r="D14" i="17"/>
  <c r="B14" i="17"/>
  <c r="J14" i="10" s="1"/>
  <c r="AQ74" i="20"/>
  <c r="V71" i="20"/>
  <c r="L71" i="20"/>
  <c r="AF71" i="20"/>
  <c r="AI72" i="20"/>
  <c r="AS72" i="20"/>
  <c r="AR73" i="20"/>
  <c r="D41" i="7"/>
  <c r="E41" i="7" s="1"/>
  <c r="P23" i="7"/>
  <c r="D42" i="7"/>
  <c r="E42" i="7" s="1"/>
  <c r="J24" i="7"/>
  <c r="H25" i="7" s="1"/>
  <c r="D23" i="6"/>
  <c r="D39" i="7"/>
  <c r="E39" i="7" s="1"/>
  <c r="Q23" i="7"/>
  <c r="R23" i="7" s="1"/>
  <c r="S23" i="7" s="1"/>
  <c r="D40" i="7"/>
  <c r="E40" i="7" s="1"/>
  <c r="AI51" i="20"/>
  <c r="AS51" i="20"/>
  <c r="W29" i="20"/>
  <c r="AC23" i="20"/>
  <c r="O24" i="7"/>
  <c r="L16" i="17"/>
  <c r="H16" i="17" s="1"/>
  <c r="R45" i="31"/>
  <c r="AD18" i="20"/>
  <c r="Y45" i="31" s="1"/>
  <c r="B54" i="31"/>
  <c r="Q47" i="31"/>
  <c r="S47" i="31"/>
  <c r="AN20" i="20"/>
  <c r="Z47" i="31" s="1"/>
  <c r="E46" i="31"/>
  <c r="AM19" i="20"/>
  <c r="L46" i="31" s="1"/>
  <c r="C47" i="31"/>
  <c r="A46" i="31"/>
  <c r="H46" i="31" s="1"/>
  <c r="O46" i="31" s="1"/>
  <c r="V46" i="31" s="1"/>
  <c r="A20" i="20"/>
  <c r="N18" i="17"/>
  <c r="F45" i="31"/>
  <c r="T46" i="31"/>
  <c r="P54" i="31"/>
  <c r="I19" i="20"/>
  <c r="I46" i="31" s="1"/>
  <c r="J19" i="20"/>
  <c r="W46" i="31" s="1"/>
  <c r="D45" i="31"/>
  <c r="K45" i="31"/>
  <c r="B36" i="9"/>
  <c r="A37" i="9"/>
  <c r="O28" i="20" l="1"/>
  <c r="Y27" i="20"/>
  <c r="B44" i="7"/>
  <c r="F44" i="7" s="1"/>
  <c r="B22" i="40"/>
  <c r="C43" i="7"/>
  <c r="E43" i="7" s="1"/>
  <c r="I14" i="5"/>
  <c r="I4" i="5" s="1"/>
  <c r="I5" i="5" s="1"/>
  <c r="I6" i="5" s="1"/>
  <c r="I7" i="5" s="1"/>
  <c r="BZ89" i="8"/>
  <c r="CA89" i="8" s="1"/>
  <c r="O50" i="22"/>
  <c r="N50" i="22"/>
  <c r="K13" i="12"/>
  <c r="S7" i="10"/>
  <c r="T7" i="10" s="1"/>
  <c r="U7" i="10" s="1"/>
  <c r="P16" i="11"/>
  <c r="M50" i="22"/>
  <c r="H72" i="2"/>
  <c r="H73" i="2" s="1"/>
  <c r="O16" i="17"/>
  <c r="P16" i="17"/>
  <c r="G16" i="17"/>
  <c r="E16" i="17"/>
  <c r="F16" i="17"/>
  <c r="D15" i="17"/>
  <c r="C15" i="17"/>
  <c r="B15" i="17"/>
  <c r="J15" i="10" s="1"/>
  <c r="AQ75" i="20"/>
  <c r="AI73" i="20"/>
  <c r="AS73" i="20"/>
  <c r="L72" i="20"/>
  <c r="AF72" i="20"/>
  <c r="V72" i="20"/>
  <c r="AR74" i="20"/>
  <c r="F40" i="7"/>
  <c r="F39" i="7"/>
  <c r="F43" i="7"/>
  <c r="F42" i="7"/>
  <c r="F38" i="7"/>
  <c r="F41" i="7"/>
  <c r="O25" i="7"/>
  <c r="D32" i="6"/>
  <c r="V22" i="7"/>
  <c r="L10" i="5" s="1"/>
  <c r="P24" i="7"/>
  <c r="Q24" i="7"/>
  <c r="R24" i="7" s="1"/>
  <c r="S24" i="7" s="1"/>
  <c r="F37" i="7"/>
  <c r="W30" i="20"/>
  <c r="AC24" i="20"/>
  <c r="AI52" i="20"/>
  <c r="AS52" i="20"/>
  <c r="F11" i="5"/>
  <c r="K4" i="2" s="1"/>
  <c r="L17" i="17"/>
  <c r="H17" i="17" s="1"/>
  <c r="A47" i="31"/>
  <c r="H47" i="31" s="1"/>
  <c r="O47" i="31" s="1"/>
  <c r="V47" i="31" s="1"/>
  <c r="A21" i="20"/>
  <c r="N19" i="17"/>
  <c r="D46" i="31"/>
  <c r="K46" i="31"/>
  <c r="J20" i="20"/>
  <c r="W47" i="31" s="1"/>
  <c r="I20" i="20"/>
  <c r="I47" i="31" s="1"/>
  <c r="E47" i="31"/>
  <c r="AM20" i="20"/>
  <c r="L47" i="31" s="1"/>
  <c r="B55" i="31"/>
  <c r="R46" i="31"/>
  <c r="AD19" i="20"/>
  <c r="Y46" i="31" s="1"/>
  <c r="P55" i="31"/>
  <c r="T47" i="31"/>
  <c r="F46" i="31"/>
  <c r="C48" i="31"/>
  <c r="S48" i="31"/>
  <c r="AN21" i="20"/>
  <c r="Z48" i="31" s="1"/>
  <c r="Q48" i="31"/>
  <c r="B37" i="9"/>
  <c r="A38" i="9"/>
  <c r="Y28" i="20" l="1"/>
  <c r="O29" i="20"/>
  <c r="B45" i="7"/>
  <c r="G45" i="7" s="1"/>
  <c r="B23" i="40"/>
  <c r="C23" i="40" s="1"/>
  <c r="C44" i="7"/>
  <c r="D44" i="7"/>
  <c r="I15" i="5"/>
  <c r="I16" i="5" s="1"/>
  <c r="I17" i="5" s="1"/>
  <c r="I18" i="5" s="1"/>
  <c r="I19" i="5" s="1"/>
  <c r="I20" i="5" s="1"/>
  <c r="K72" i="2"/>
  <c r="K73" i="2" s="1"/>
  <c r="O17" i="17"/>
  <c r="P17" i="17"/>
  <c r="F17" i="17"/>
  <c r="E17" i="17"/>
  <c r="G17" i="17"/>
  <c r="B16" i="17"/>
  <c r="J16" i="10" s="1"/>
  <c r="D16" i="17"/>
  <c r="C16" i="17"/>
  <c r="AR75" i="20"/>
  <c r="V73" i="20"/>
  <c r="L73" i="20"/>
  <c r="AF73" i="20"/>
  <c r="AQ76" i="20"/>
  <c r="AS74" i="20"/>
  <c r="AI74" i="20"/>
  <c r="G37" i="7"/>
  <c r="H37" i="7" s="1"/>
  <c r="G38" i="7"/>
  <c r="H38" i="7" s="1"/>
  <c r="G44" i="7"/>
  <c r="H44" i="7" s="1"/>
  <c r="G42" i="7"/>
  <c r="H42" i="7" s="1"/>
  <c r="G41" i="7"/>
  <c r="H41" i="7" s="1"/>
  <c r="G39" i="7"/>
  <c r="H39" i="7" s="1"/>
  <c r="G43" i="7"/>
  <c r="H43" i="7" s="1"/>
  <c r="G40" i="7"/>
  <c r="H40" i="7" s="1"/>
  <c r="AC25" i="20"/>
  <c r="AI53" i="20"/>
  <c r="AS53" i="20"/>
  <c r="W31" i="20"/>
  <c r="L18" i="17"/>
  <c r="H18" i="17" s="1"/>
  <c r="S49" i="31"/>
  <c r="AN22" i="20"/>
  <c r="Z49" i="31" s="1"/>
  <c r="F47" i="31"/>
  <c r="Q49" i="31"/>
  <c r="P56" i="31"/>
  <c r="B56" i="31"/>
  <c r="I21" i="20"/>
  <c r="I48" i="31" s="1"/>
  <c r="J21" i="20"/>
  <c r="W48" i="31" s="1"/>
  <c r="A48" i="31"/>
  <c r="H48" i="31" s="1"/>
  <c r="O48" i="31" s="1"/>
  <c r="V48" i="31" s="1"/>
  <c r="N20" i="17"/>
  <c r="A22" i="20"/>
  <c r="E48" i="31"/>
  <c r="AM21" i="20"/>
  <c r="L48" i="31" s="1"/>
  <c r="R47" i="31"/>
  <c r="AD20" i="20"/>
  <c r="Y47" i="31" s="1"/>
  <c r="C49" i="31"/>
  <c r="T48" i="31"/>
  <c r="D47" i="31"/>
  <c r="K47" i="31"/>
  <c r="A39" i="9"/>
  <c r="B38" i="9"/>
  <c r="O30" i="20" l="1"/>
  <c r="Y29" i="20"/>
  <c r="E44" i="7"/>
  <c r="B46" i="7"/>
  <c r="C45" i="7"/>
  <c r="D45" i="7"/>
  <c r="F45" i="7"/>
  <c r="H45" i="7" s="1"/>
  <c r="O18" i="17"/>
  <c r="P18" i="17"/>
  <c r="E18" i="17"/>
  <c r="G18" i="17"/>
  <c r="F18" i="17"/>
  <c r="D17" i="17"/>
  <c r="C17" i="17"/>
  <c r="B17" i="17"/>
  <c r="J17" i="10" s="1"/>
  <c r="AI75" i="20"/>
  <c r="AS75" i="20"/>
  <c r="AR76" i="20"/>
  <c r="AQ77" i="20"/>
  <c r="V74" i="20"/>
  <c r="AF74" i="20"/>
  <c r="L74" i="20"/>
  <c r="W32" i="20"/>
  <c r="AS54" i="20"/>
  <c r="AI54" i="20"/>
  <c r="AC26" i="20"/>
  <c r="L19" i="17"/>
  <c r="H19" i="17" s="1"/>
  <c r="C50" i="31"/>
  <c r="E49" i="31"/>
  <c r="AM22" i="20"/>
  <c r="L49" i="31" s="1"/>
  <c r="A49" i="31"/>
  <c r="H49" i="31" s="1"/>
  <c r="O49" i="31" s="1"/>
  <c r="V49" i="31" s="1"/>
  <c r="A23" i="20"/>
  <c r="N21" i="17"/>
  <c r="R48" i="31"/>
  <c r="AD21" i="20"/>
  <c r="Y48" i="31" s="1"/>
  <c r="J22" i="20"/>
  <c r="W49" i="31" s="1"/>
  <c r="I22" i="20"/>
  <c r="I49" i="31" s="1"/>
  <c r="P57" i="31"/>
  <c r="S50" i="31"/>
  <c r="AN23" i="20"/>
  <c r="Z50" i="31" s="1"/>
  <c r="D48" i="31"/>
  <c r="K48" i="31"/>
  <c r="T49" i="31"/>
  <c r="B57" i="31"/>
  <c r="Q50" i="31"/>
  <c r="F48" i="31"/>
  <c r="B39" i="9"/>
  <c r="A40" i="9"/>
  <c r="Y30" i="20" l="1"/>
  <c r="O31" i="20"/>
  <c r="E45" i="7"/>
  <c r="B47" i="7"/>
  <c r="C46" i="7"/>
  <c r="D46" i="7"/>
  <c r="F46" i="7"/>
  <c r="G46" i="7"/>
  <c r="O19" i="17"/>
  <c r="P19" i="17"/>
  <c r="F19" i="17"/>
  <c r="E19" i="17"/>
  <c r="G19" i="17"/>
  <c r="C18" i="17"/>
  <c r="D18" i="17"/>
  <c r="B18" i="17"/>
  <c r="J18" i="10" s="1"/>
  <c r="AQ78" i="20"/>
  <c r="AR77" i="20"/>
  <c r="AS76" i="20"/>
  <c r="AI76" i="20"/>
  <c r="V75" i="20"/>
  <c r="L75" i="20"/>
  <c r="AF75" i="20"/>
  <c r="AI55" i="20"/>
  <c r="AS55" i="20"/>
  <c r="AC27" i="20"/>
  <c r="W33" i="20"/>
  <c r="L20" i="17"/>
  <c r="H20" i="17" s="1"/>
  <c r="I23" i="20"/>
  <c r="I50" i="31" s="1"/>
  <c r="J23" i="20"/>
  <c r="W50" i="31" s="1"/>
  <c r="F49" i="31"/>
  <c r="B58" i="31"/>
  <c r="D49" i="31"/>
  <c r="K49" i="31"/>
  <c r="S51" i="31"/>
  <c r="AN24" i="20"/>
  <c r="Z51" i="31" s="1"/>
  <c r="R49" i="31"/>
  <c r="AD22" i="20"/>
  <c r="Y49" i="31" s="1"/>
  <c r="A50" i="31"/>
  <c r="H50" i="31" s="1"/>
  <c r="O50" i="31" s="1"/>
  <c r="V50" i="31" s="1"/>
  <c r="N22" i="17"/>
  <c r="A24" i="20"/>
  <c r="Q51" i="31"/>
  <c r="T50" i="31"/>
  <c r="E50" i="31"/>
  <c r="AM23" i="20"/>
  <c r="L50" i="31" s="1"/>
  <c r="C51" i="31"/>
  <c r="P58" i="31"/>
  <c r="B40" i="9"/>
  <c r="A41" i="9"/>
  <c r="O32" i="20" l="1"/>
  <c r="Y31" i="20"/>
  <c r="E46" i="7"/>
  <c r="H46" i="7"/>
  <c r="B48" i="7"/>
  <c r="C47" i="7"/>
  <c r="D47" i="7"/>
  <c r="F47" i="7"/>
  <c r="G47" i="7"/>
  <c r="O20" i="17"/>
  <c r="P20" i="17"/>
  <c r="G20" i="17"/>
  <c r="E20" i="17"/>
  <c r="F20" i="17"/>
  <c r="B19" i="17"/>
  <c r="J19" i="10" s="1"/>
  <c r="D19" i="17"/>
  <c r="C19" i="17"/>
  <c r="AI77" i="20"/>
  <c r="AS77" i="20"/>
  <c r="AR78" i="20"/>
  <c r="AF76" i="20"/>
  <c r="L76" i="20"/>
  <c r="V76" i="20"/>
  <c r="AQ79" i="20"/>
  <c r="W34" i="20"/>
  <c r="AC28" i="20"/>
  <c r="AS56" i="20"/>
  <c r="AI56" i="20"/>
  <c r="L21" i="17"/>
  <c r="H21" i="17" s="1"/>
  <c r="R50" i="31"/>
  <c r="AD23" i="20"/>
  <c r="Y50" i="31" s="1"/>
  <c r="P59" i="31"/>
  <c r="Q52" i="31"/>
  <c r="A51" i="31"/>
  <c r="H51" i="31" s="1"/>
  <c r="O51" i="31" s="1"/>
  <c r="V51" i="31" s="1"/>
  <c r="A25" i="20"/>
  <c r="N23" i="17"/>
  <c r="S52" i="31"/>
  <c r="AN25" i="20"/>
  <c r="Z52" i="31" s="1"/>
  <c r="B59" i="31"/>
  <c r="F50" i="31"/>
  <c r="C52" i="31"/>
  <c r="E51" i="31"/>
  <c r="AM24" i="20"/>
  <c r="L51" i="31" s="1"/>
  <c r="T51" i="31"/>
  <c r="D50" i="31"/>
  <c r="K50" i="31"/>
  <c r="J24" i="20"/>
  <c r="W51" i="31" s="1"/>
  <c r="I24" i="20"/>
  <c r="I51" i="31" s="1"/>
  <c r="A42" i="9"/>
  <c r="B41" i="9"/>
  <c r="O33" i="20" l="1"/>
  <c r="Y32" i="20"/>
  <c r="E47" i="7"/>
  <c r="H47" i="7"/>
  <c r="B49" i="7"/>
  <c r="C48" i="7"/>
  <c r="D48" i="7"/>
  <c r="F48" i="7"/>
  <c r="G48" i="7"/>
  <c r="O21" i="17"/>
  <c r="P21" i="17"/>
  <c r="F21" i="17"/>
  <c r="E21" i="17"/>
  <c r="G21" i="17"/>
  <c r="C20" i="17"/>
  <c r="B20" i="17"/>
  <c r="J20" i="10" s="1"/>
  <c r="D20" i="17"/>
  <c r="AF77" i="20"/>
  <c r="L77" i="20"/>
  <c r="V77" i="20"/>
  <c r="AQ80" i="20"/>
  <c r="AR79" i="20"/>
  <c r="AS78" i="20"/>
  <c r="AI78" i="20"/>
  <c r="AC29" i="20"/>
  <c r="AS57" i="20"/>
  <c r="AI57" i="20"/>
  <c r="W35" i="20"/>
  <c r="L22" i="17"/>
  <c r="H22" i="17" s="1"/>
  <c r="D51" i="31"/>
  <c r="K51" i="31"/>
  <c r="Q53" i="31"/>
  <c r="T52" i="31"/>
  <c r="F51" i="31"/>
  <c r="P60" i="31"/>
  <c r="R51" i="31"/>
  <c r="AD24" i="20"/>
  <c r="Y51" i="31" s="1"/>
  <c r="S53" i="31"/>
  <c r="AN26" i="20"/>
  <c r="Z53" i="31" s="1"/>
  <c r="A52" i="31"/>
  <c r="H52" i="31" s="1"/>
  <c r="O52" i="31" s="1"/>
  <c r="V52" i="31" s="1"/>
  <c r="N24" i="17"/>
  <c r="A26" i="20"/>
  <c r="J25" i="20"/>
  <c r="W52" i="31" s="1"/>
  <c r="I25" i="20"/>
  <c r="I52" i="31" s="1"/>
  <c r="E52" i="31"/>
  <c r="AM25" i="20"/>
  <c r="L52" i="31" s="1"/>
  <c r="C53" i="31"/>
  <c r="B60" i="31"/>
  <c r="B42" i="9"/>
  <c r="A43" i="9"/>
  <c r="Y33" i="20" l="1"/>
  <c r="O34" i="20"/>
  <c r="H48" i="7"/>
  <c r="E48" i="7"/>
  <c r="B50" i="7"/>
  <c r="C49" i="7"/>
  <c r="D49" i="7"/>
  <c r="F49" i="7"/>
  <c r="G49" i="7"/>
  <c r="O22" i="17"/>
  <c r="P22" i="17"/>
  <c r="F22" i="17"/>
  <c r="G22" i="17"/>
  <c r="E22" i="17"/>
  <c r="B21" i="17"/>
  <c r="J21" i="10" s="1"/>
  <c r="C21" i="17"/>
  <c r="D21" i="17"/>
  <c r="AQ81" i="20"/>
  <c r="AI79" i="20"/>
  <c r="AS79" i="20"/>
  <c r="V78" i="20"/>
  <c r="AF78" i="20"/>
  <c r="L78" i="20"/>
  <c r="AR80" i="20"/>
  <c r="W36" i="20"/>
  <c r="AS58" i="20"/>
  <c r="AI58" i="20"/>
  <c r="AC30" i="20"/>
  <c r="L23" i="17"/>
  <c r="H23" i="17" s="1"/>
  <c r="C54" i="31"/>
  <c r="A53" i="31"/>
  <c r="H53" i="31" s="1"/>
  <c r="O53" i="31" s="1"/>
  <c r="V53" i="31" s="1"/>
  <c r="N25" i="17"/>
  <c r="A27" i="20"/>
  <c r="Q54" i="31"/>
  <c r="B61" i="31"/>
  <c r="I26" i="20"/>
  <c r="I53" i="31" s="1"/>
  <c r="J26" i="20"/>
  <c r="W53" i="31" s="1"/>
  <c r="R52" i="31"/>
  <c r="AD25" i="20"/>
  <c r="Y52" i="31" s="1"/>
  <c r="P61" i="31"/>
  <c r="E53" i="31"/>
  <c r="AM26" i="20"/>
  <c r="L53" i="31" s="1"/>
  <c r="F52" i="31"/>
  <c r="D52" i="31"/>
  <c r="K52" i="31"/>
  <c r="S54" i="31"/>
  <c r="AN27" i="20"/>
  <c r="Z54" i="31" s="1"/>
  <c r="T53" i="31"/>
  <c r="B43" i="9"/>
  <c r="A44" i="9"/>
  <c r="O35" i="20" l="1"/>
  <c r="Y34" i="20"/>
  <c r="E49" i="7"/>
  <c r="H49" i="7"/>
  <c r="B51" i="7"/>
  <c r="C50" i="7"/>
  <c r="D50" i="7"/>
  <c r="F50" i="7"/>
  <c r="G50" i="7"/>
  <c r="O23" i="17"/>
  <c r="P23" i="17"/>
  <c r="F23" i="17"/>
  <c r="E23" i="17"/>
  <c r="G23" i="17"/>
  <c r="D22" i="17"/>
  <c r="C22" i="17"/>
  <c r="B22" i="17"/>
  <c r="J22" i="10" s="1"/>
  <c r="AS80" i="20"/>
  <c r="AI80" i="20"/>
  <c r="AR81" i="20"/>
  <c r="AF79" i="20"/>
  <c r="L79" i="20"/>
  <c r="V79" i="20"/>
  <c r="AQ82" i="20"/>
  <c r="AC31" i="20"/>
  <c r="W37" i="20"/>
  <c r="AI59" i="20"/>
  <c r="AS59" i="20"/>
  <c r="L24" i="17"/>
  <c r="H24" i="17" s="1"/>
  <c r="R53" i="31"/>
  <c r="AD26" i="20"/>
  <c r="Y53" i="31" s="1"/>
  <c r="C55" i="31"/>
  <c r="J27" i="20"/>
  <c r="W54" i="31" s="1"/>
  <c r="I27" i="20"/>
  <c r="I54" i="31" s="1"/>
  <c r="A54" i="31"/>
  <c r="H54" i="31" s="1"/>
  <c r="O54" i="31" s="1"/>
  <c r="V54" i="31" s="1"/>
  <c r="N26" i="17"/>
  <c r="A28" i="20"/>
  <c r="T54" i="31"/>
  <c r="E54" i="31"/>
  <c r="AM27" i="20"/>
  <c r="L54" i="31" s="1"/>
  <c r="P62" i="31"/>
  <c r="Q55" i="31"/>
  <c r="S55" i="31"/>
  <c r="AN28" i="20"/>
  <c r="Z55" i="31" s="1"/>
  <c r="F53" i="31"/>
  <c r="D53" i="31"/>
  <c r="K53" i="31"/>
  <c r="B62" i="31"/>
  <c r="A45" i="9"/>
  <c r="B44" i="9"/>
  <c r="Y35" i="20" l="1"/>
  <c r="O36" i="20"/>
  <c r="H50" i="7"/>
  <c r="E50" i="7"/>
  <c r="B52" i="7"/>
  <c r="C51" i="7"/>
  <c r="D51" i="7"/>
  <c r="F51" i="7"/>
  <c r="G51" i="7"/>
  <c r="O24" i="17"/>
  <c r="P24" i="17"/>
  <c r="F24" i="17"/>
  <c r="G24" i="17"/>
  <c r="E24" i="17"/>
  <c r="B23" i="17"/>
  <c r="J23" i="10" s="1"/>
  <c r="C23" i="17"/>
  <c r="D23" i="17"/>
  <c r="L80" i="20"/>
  <c r="V80" i="20"/>
  <c r="AF80" i="20"/>
  <c r="AR82" i="20"/>
  <c r="AS81" i="20"/>
  <c r="AI81" i="20"/>
  <c r="AQ83" i="20"/>
  <c r="AS60" i="20"/>
  <c r="AI60" i="20"/>
  <c r="AC32" i="20"/>
  <c r="W38" i="20"/>
  <c r="L25" i="17"/>
  <c r="H25" i="17" s="1"/>
  <c r="D54" i="31"/>
  <c r="K54" i="31"/>
  <c r="T55" i="31"/>
  <c r="C56" i="31"/>
  <c r="R54" i="31"/>
  <c r="AD27" i="20"/>
  <c r="Y54" i="31" s="1"/>
  <c r="B63" i="31"/>
  <c r="F54" i="31"/>
  <c r="P63" i="31"/>
  <c r="Q56" i="31"/>
  <c r="N27" i="17"/>
  <c r="A29" i="20"/>
  <c r="A55" i="31"/>
  <c r="H55" i="31" s="1"/>
  <c r="O55" i="31" s="1"/>
  <c r="V55" i="31" s="1"/>
  <c r="S56" i="31"/>
  <c r="AN29" i="20"/>
  <c r="Z56" i="31" s="1"/>
  <c r="E55" i="31"/>
  <c r="AM28" i="20"/>
  <c r="L55" i="31" s="1"/>
  <c r="J28" i="20"/>
  <c r="W55" i="31" s="1"/>
  <c r="I28" i="20"/>
  <c r="I55" i="31" s="1"/>
  <c r="A46" i="9"/>
  <c r="B45" i="9"/>
  <c r="O37" i="20" l="1"/>
  <c r="Y36" i="20"/>
  <c r="E51" i="7"/>
  <c r="H51" i="7"/>
  <c r="B53" i="7"/>
  <c r="C52" i="7"/>
  <c r="D52" i="7"/>
  <c r="F52" i="7"/>
  <c r="G52" i="7"/>
  <c r="O25" i="17"/>
  <c r="P25" i="17"/>
  <c r="G25" i="17"/>
  <c r="F25" i="17"/>
  <c r="E25" i="17"/>
  <c r="D24" i="17"/>
  <c r="C24" i="17"/>
  <c r="B24" i="17"/>
  <c r="J24" i="10" s="1"/>
  <c r="AQ84" i="20"/>
  <c r="AF81" i="20"/>
  <c r="L81" i="20"/>
  <c r="V81" i="20"/>
  <c r="AR83" i="20"/>
  <c r="AI82" i="20"/>
  <c r="AS82" i="20"/>
  <c r="W39" i="20"/>
  <c r="AC33" i="20"/>
  <c r="L26" i="17"/>
  <c r="H26" i="17" s="1"/>
  <c r="E56" i="31"/>
  <c r="AM29" i="20"/>
  <c r="L56" i="31" s="1"/>
  <c r="S57" i="31"/>
  <c r="AN30" i="20"/>
  <c r="Z57" i="31" s="1"/>
  <c r="D55" i="31"/>
  <c r="K55" i="31"/>
  <c r="A56" i="31"/>
  <c r="H56" i="31" s="1"/>
  <c r="O56" i="31" s="1"/>
  <c r="V56" i="31" s="1"/>
  <c r="A30" i="20"/>
  <c r="N28" i="17"/>
  <c r="F55" i="31"/>
  <c r="B64" i="31"/>
  <c r="C57" i="31"/>
  <c r="R55" i="31"/>
  <c r="AD28" i="20"/>
  <c r="Y55" i="31" s="1"/>
  <c r="T56" i="31"/>
  <c r="J29" i="20"/>
  <c r="W56" i="31" s="1"/>
  <c r="I29" i="20"/>
  <c r="I56" i="31" s="1"/>
  <c r="Q57" i="31"/>
  <c r="P64" i="31"/>
  <c r="A47" i="9"/>
  <c r="B46" i="9"/>
  <c r="O38" i="20" l="1"/>
  <c r="Y37" i="20"/>
  <c r="E52" i="7"/>
  <c r="H52" i="7"/>
  <c r="B54" i="7"/>
  <c r="C53" i="7"/>
  <c r="D53" i="7"/>
  <c r="F53" i="7"/>
  <c r="G53" i="7"/>
  <c r="O26" i="17"/>
  <c r="P26" i="17"/>
  <c r="E26" i="17"/>
  <c r="F26" i="17"/>
  <c r="G26" i="17"/>
  <c r="D25" i="17"/>
  <c r="B25" i="17"/>
  <c r="J25" i="10" s="1"/>
  <c r="C25" i="17"/>
  <c r="AR84" i="20"/>
  <c r="V82" i="20"/>
  <c r="L82" i="20"/>
  <c r="AF82" i="20"/>
  <c r="AQ85" i="20"/>
  <c r="AS83" i="20"/>
  <c r="AI83" i="20"/>
  <c r="AC34" i="20"/>
  <c r="W40" i="20"/>
  <c r="L27" i="17"/>
  <c r="H27" i="17" s="1"/>
  <c r="I30" i="20"/>
  <c r="I57" i="31" s="1"/>
  <c r="J30" i="20"/>
  <c r="W57" i="31" s="1"/>
  <c r="C58" i="31"/>
  <c r="F56" i="31"/>
  <c r="E57" i="31"/>
  <c r="AM30" i="20"/>
  <c r="L57" i="31" s="1"/>
  <c r="B65" i="31"/>
  <c r="D56" i="31"/>
  <c r="K56" i="31"/>
  <c r="S58" i="31"/>
  <c r="AN31" i="20"/>
  <c r="Z58" i="31" s="1"/>
  <c r="T57" i="31"/>
  <c r="R56" i="31"/>
  <c r="AD29" i="20"/>
  <c r="Y56" i="31" s="1"/>
  <c r="P65" i="31"/>
  <c r="Q58" i="31"/>
  <c r="A57" i="31"/>
  <c r="H57" i="31" s="1"/>
  <c r="O57" i="31" s="1"/>
  <c r="V57" i="31" s="1"/>
  <c r="N29" i="17"/>
  <c r="A31" i="20"/>
  <c r="A48" i="9"/>
  <c r="B47" i="9"/>
  <c r="O39" i="20" l="1"/>
  <c r="Y38" i="20"/>
  <c r="E53" i="7"/>
  <c r="H53" i="7"/>
  <c r="B55" i="7"/>
  <c r="C54" i="7"/>
  <c r="D54" i="7"/>
  <c r="F54" i="7"/>
  <c r="G54" i="7"/>
  <c r="O27" i="17"/>
  <c r="P27" i="17"/>
  <c r="G27" i="17"/>
  <c r="F27" i="17"/>
  <c r="E27" i="17"/>
  <c r="D26" i="17"/>
  <c r="C26" i="17"/>
  <c r="B26" i="17"/>
  <c r="J26" i="10" s="1"/>
  <c r="AF83" i="20"/>
  <c r="L83" i="20"/>
  <c r="V83" i="20"/>
  <c r="AR85" i="20"/>
  <c r="AI84" i="20"/>
  <c r="AS84" i="20"/>
  <c r="AC35" i="20"/>
  <c r="L28" i="17"/>
  <c r="H28" i="17" s="1"/>
  <c r="Q59" i="31"/>
  <c r="S59" i="31"/>
  <c r="AN32" i="20"/>
  <c r="Z59" i="31" s="1"/>
  <c r="B66" i="31"/>
  <c r="A58" i="31"/>
  <c r="H58" i="31" s="1"/>
  <c r="O58" i="31" s="1"/>
  <c r="V58" i="31" s="1"/>
  <c r="A32" i="20"/>
  <c r="N30" i="17"/>
  <c r="P66" i="31"/>
  <c r="C59" i="31"/>
  <c r="R57" i="31"/>
  <c r="AD30" i="20"/>
  <c r="Y57" i="31" s="1"/>
  <c r="T58" i="31"/>
  <c r="E58" i="31"/>
  <c r="AM31" i="20"/>
  <c r="L58" i="31" s="1"/>
  <c r="D57" i="31"/>
  <c r="K57" i="31"/>
  <c r="F57" i="31"/>
  <c r="I31" i="20"/>
  <c r="I58" i="31" s="1"/>
  <c r="J31" i="20"/>
  <c r="W58" i="31" s="1"/>
  <c r="B48" i="9"/>
  <c r="A49" i="9"/>
  <c r="Y39" i="20" l="1"/>
  <c r="O40" i="20"/>
  <c r="E54" i="7"/>
  <c r="H54" i="7"/>
  <c r="B56" i="7"/>
  <c r="C55" i="7"/>
  <c r="D55" i="7"/>
  <c r="F55" i="7"/>
  <c r="G55" i="7"/>
  <c r="O28" i="17"/>
  <c r="P28" i="17"/>
  <c r="G28" i="17"/>
  <c r="E28" i="17"/>
  <c r="F28" i="17"/>
  <c r="B27" i="17"/>
  <c r="J27" i="10" s="1"/>
  <c r="D27" i="17"/>
  <c r="C27" i="17"/>
  <c r="AS85" i="20"/>
  <c r="AI85" i="20"/>
  <c r="AF84" i="20"/>
  <c r="V84" i="20"/>
  <c r="L84" i="20"/>
  <c r="AC36" i="20"/>
  <c r="L29" i="17"/>
  <c r="H29" i="17" s="1"/>
  <c r="T59" i="31"/>
  <c r="C60" i="31"/>
  <c r="Q60" i="31"/>
  <c r="F58" i="31"/>
  <c r="R58" i="31"/>
  <c r="AD31" i="20"/>
  <c r="Y58" i="31" s="1"/>
  <c r="B67" i="31"/>
  <c r="S60" i="31"/>
  <c r="AN33" i="20"/>
  <c r="Z60" i="31" s="1"/>
  <c r="P67" i="31"/>
  <c r="A59" i="31"/>
  <c r="H59" i="31" s="1"/>
  <c r="O59" i="31" s="1"/>
  <c r="V59" i="31" s="1"/>
  <c r="A33" i="20"/>
  <c r="N31" i="17"/>
  <c r="I32" i="20"/>
  <c r="I59" i="31" s="1"/>
  <c r="J32" i="20"/>
  <c r="W59" i="31" s="1"/>
  <c r="D58" i="31"/>
  <c r="K58" i="31"/>
  <c r="E59" i="31"/>
  <c r="AM32" i="20"/>
  <c r="L59" i="31" s="1"/>
  <c r="A50" i="9"/>
  <c r="B49" i="9"/>
  <c r="Y40" i="20" l="1"/>
  <c r="O41" i="20"/>
  <c r="H55" i="7"/>
  <c r="E55" i="7"/>
  <c r="B57" i="7"/>
  <c r="C56" i="7"/>
  <c r="D56" i="7"/>
  <c r="F56" i="7"/>
  <c r="G56" i="7"/>
  <c r="O29" i="17"/>
  <c r="P29" i="17"/>
  <c r="F29" i="17"/>
  <c r="E29" i="17"/>
  <c r="G29" i="17"/>
  <c r="B28" i="17"/>
  <c r="J28" i="10" s="1"/>
  <c r="C28" i="17"/>
  <c r="D28" i="17"/>
  <c r="V85" i="20"/>
  <c r="L85" i="20"/>
  <c r="AF85" i="20"/>
  <c r="N41" i="20"/>
  <c r="AH41" i="20"/>
  <c r="X41" i="20"/>
  <c r="M41" i="20"/>
  <c r="AG41" i="20"/>
  <c r="W41" i="20"/>
  <c r="AC37" i="20"/>
  <c r="L30" i="17"/>
  <c r="H30" i="17" s="1"/>
  <c r="C61" i="31"/>
  <c r="T60" i="31"/>
  <c r="D59" i="31"/>
  <c r="K59" i="31"/>
  <c r="A60" i="31"/>
  <c r="H60" i="31" s="1"/>
  <c r="O60" i="31" s="1"/>
  <c r="V60" i="31" s="1"/>
  <c r="N32" i="17"/>
  <c r="A34" i="20"/>
  <c r="S61" i="31"/>
  <c r="AN34" i="20"/>
  <c r="Z61" i="31" s="1"/>
  <c r="Q61" i="31"/>
  <c r="B68" i="31"/>
  <c r="E60" i="31"/>
  <c r="AM33" i="20"/>
  <c r="L60" i="31" s="1"/>
  <c r="J33" i="20"/>
  <c r="W60" i="31" s="1"/>
  <c r="I33" i="20"/>
  <c r="I60" i="31" s="1"/>
  <c r="P68" i="31"/>
  <c r="R59" i="31"/>
  <c r="AD32" i="20"/>
  <c r="Y59" i="31" s="1"/>
  <c r="F59" i="31"/>
  <c r="B50" i="9"/>
  <c r="A51" i="9"/>
  <c r="O42" i="20" l="1"/>
  <c r="Y41" i="20"/>
  <c r="E56" i="7"/>
  <c r="H56" i="7"/>
  <c r="B58" i="7"/>
  <c r="C57" i="7"/>
  <c r="D57" i="7"/>
  <c r="F57" i="7"/>
  <c r="G57" i="7"/>
  <c r="O30" i="17"/>
  <c r="P30" i="17"/>
  <c r="G30" i="17"/>
  <c r="F30" i="17"/>
  <c r="E30" i="17"/>
  <c r="D29" i="17"/>
  <c r="B29" i="17"/>
  <c r="J29" i="10" s="1"/>
  <c r="C29" i="17"/>
  <c r="AC38" i="20"/>
  <c r="AG42" i="20"/>
  <c r="X42" i="20"/>
  <c r="W42" i="20"/>
  <c r="M42" i="20"/>
  <c r="AH42" i="20"/>
  <c r="N42" i="20"/>
  <c r="N43" i="20" s="1"/>
  <c r="L31" i="17"/>
  <c r="H31" i="17" s="1"/>
  <c r="E61" i="31"/>
  <c r="AM34" i="20"/>
  <c r="L61" i="31" s="1"/>
  <c r="Q62" i="31"/>
  <c r="C62" i="31"/>
  <c r="P69" i="31"/>
  <c r="B69" i="31"/>
  <c r="D60" i="31"/>
  <c r="K60" i="31"/>
  <c r="I34" i="20"/>
  <c r="I61" i="31" s="1"/>
  <c r="J34" i="20"/>
  <c r="W61" i="31" s="1"/>
  <c r="S62" i="31"/>
  <c r="AN35" i="20"/>
  <c r="Z62" i="31" s="1"/>
  <c r="R60" i="31"/>
  <c r="AD33" i="20"/>
  <c r="Y60" i="31" s="1"/>
  <c r="F60" i="31"/>
  <c r="A61" i="31"/>
  <c r="H61" i="31" s="1"/>
  <c r="O61" i="31" s="1"/>
  <c r="V61" i="31" s="1"/>
  <c r="A35" i="20"/>
  <c r="N33" i="17"/>
  <c r="T61" i="31"/>
  <c r="B51" i="9"/>
  <c r="A52" i="9"/>
  <c r="O43" i="20" l="1"/>
  <c r="Y42" i="20"/>
  <c r="E57" i="7"/>
  <c r="H57" i="7"/>
  <c r="B59" i="7"/>
  <c r="C58" i="7"/>
  <c r="D58" i="7"/>
  <c r="F58" i="7"/>
  <c r="G58" i="7"/>
  <c r="O31" i="17"/>
  <c r="P31" i="17"/>
  <c r="F31" i="17"/>
  <c r="G31" i="17"/>
  <c r="E31" i="17"/>
  <c r="B30" i="17"/>
  <c r="J30" i="10" s="1"/>
  <c r="C30" i="17"/>
  <c r="D30" i="17"/>
  <c r="W43" i="20"/>
  <c r="X43" i="20"/>
  <c r="M43" i="20"/>
  <c r="AG43" i="20"/>
  <c r="AH43" i="20"/>
  <c r="AC39" i="20"/>
  <c r="L32" i="17"/>
  <c r="H32" i="17" s="1"/>
  <c r="Q63" i="31"/>
  <c r="S63" i="31"/>
  <c r="AN36" i="20"/>
  <c r="Z63" i="31" s="1"/>
  <c r="P70" i="31"/>
  <c r="F61" i="31"/>
  <c r="R61" i="31"/>
  <c r="AD34" i="20"/>
  <c r="Y61" i="31" s="1"/>
  <c r="I35" i="20"/>
  <c r="I62" i="31" s="1"/>
  <c r="J35" i="20"/>
  <c r="W62" i="31" s="1"/>
  <c r="T62" i="31"/>
  <c r="C63" i="31"/>
  <c r="A62" i="31"/>
  <c r="H62" i="31" s="1"/>
  <c r="O62" i="31" s="1"/>
  <c r="V62" i="31" s="1"/>
  <c r="A36" i="20"/>
  <c r="N34" i="17"/>
  <c r="D61" i="31"/>
  <c r="K61" i="31"/>
  <c r="B70" i="31"/>
  <c r="E62" i="31"/>
  <c r="AM35" i="20"/>
  <c r="L62" i="31" s="1"/>
  <c r="B52" i="9"/>
  <c r="A53" i="9"/>
  <c r="Y43" i="20" l="1"/>
  <c r="O44" i="20"/>
  <c r="H58" i="7"/>
  <c r="E58" i="7"/>
  <c r="B60" i="7"/>
  <c r="C59" i="7"/>
  <c r="D59" i="7"/>
  <c r="F59" i="7"/>
  <c r="G59" i="7"/>
  <c r="O32" i="17"/>
  <c r="P32" i="17"/>
  <c r="G32" i="17"/>
  <c r="F32" i="17"/>
  <c r="E32" i="17"/>
  <c r="B31" i="17"/>
  <c r="J31" i="10" s="1"/>
  <c r="C31" i="17"/>
  <c r="D31" i="17"/>
  <c r="M44" i="20"/>
  <c r="N44" i="20"/>
  <c r="AG44" i="20"/>
  <c r="AH44" i="20"/>
  <c r="X44" i="20"/>
  <c r="AC40" i="20"/>
  <c r="W44" i="20"/>
  <c r="L33" i="17"/>
  <c r="H33" i="17" s="1"/>
  <c r="E63" i="31"/>
  <c r="AM36" i="20"/>
  <c r="L63" i="31" s="1"/>
  <c r="A63" i="31"/>
  <c r="H63" i="31" s="1"/>
  <c r="O63" i="31" s="1"/>
  <c r="V63" i="31" s="1"/>
  <c r="A37" i="20"/>
  <c r="N35" i="17"/>
  <c r="R62" i="31"/>
  <c r="AD35" i="20"/>
  <c r="Y62" i="31" s="1"/>
  <c r="P71" i="31"/>
  <c r="B71" i="31"/>
  <c r="Q64" i="31"/>
  <c r="C64" i="31"/>
  <c r="S64" i="31"/>
  <c r="AN37" i="20"/>
  <c r="Z64" i="31" s="1"/>
  <c r="F62" i="31"/>
  <c r="D62" i="31"/>
  <c r="K62" i="31"/>
  <c r="T63" i="31"/>
  <c r="I36" i="20"/>
  <c r="I63" i="31" s="1"/>
  <c r="J36" i="20"/>
  <c r="W63" i="31" s="1"/>
  <c r="B53" i="9"/>
  <c r="A54" i="9"/>
  <c r="O45" i="20" l="1"/>
  <c r="Y44" i="20"/>
  <c r="E59" i="7"/>
  <c r="H59" i="7"/>
  <c r="B61" i="7"/>
  <c r="C60" i="7"/>
  <c r="D60" i="7"/>
  <c r="F60" i="7"/>
  <c r="G60" i="7"/>
  <c r="O33" i="17"/>
  <c r="P33" i="17"/>
  <c r="E33" i="17"/>
  <c r="G33" i="17"/>
  <c r="F33" i="17"/>
  <c r="D32" i="17"/>
  <c r="C32" i="17"/>
  <c r="B32" i="17"/>
  <c r="J32" i="10" s="1"/>
  <c r="AG45" i="20"/>
  <c r="N45" i="20"/>
  <c r="AC41" i="20"/>
  <c r="X45" i="20"/>
  <c r="M45" i="20"/>
  <c r="M46" i="20" s="1"/>
  <c r="AH45" i="20"/>
  <c r="W45" i="20"/>
  <c r="L34" i="17"/>
  <c r="H34" i="17" s="1"/>
  <c r="J37" i="20"/>
  <c r="W64" i="31" s="1"/>
  <c r="I37" i="20"/>
  <c r="I64" i="31" s="1"/>
  <c r="D63" i="31"/>
  <c r="K63" i="31"/>
  <c r="R63" i="31"/>
  <c r="AD36" i="20"/>
  <c r="Y63" i="31" s="1"/>
  <c r="E64" i="31"/>
  <c r="AM37" i="20"/>
  <c r="L64" i="31" s="1"/>
  <c r="S65" i="31"/>
  <c r="AN38" i="20"/>
  <c r="Z65" i="31" s="1"/>
  <c r="Q65" i="31"/>
  <c r="P72" i="31"/>
  <c r="C11" i="10"/>
  <c r="A64" i="31"/>
  <c r="H64" i="31" s="1"/>
  <c r="O64" i="31" s="1"/>
  <c r="V64" i="31" s="1"/>
  <c r="N36" i="17"/>
  <c r="A38" i="20"/>
  <c r="T64" i="31"/>
  <c r="C65" i="31"/>
  <c r="F63" i="31"/>
  <c r="B72" i="31"/>
  <c r="F11" i="10"/>
  <c r="A55" i="9"/>
  <c r="B54" i="9"/>
  <c r="Y45" i="20" l="1"/>
  <c r="O46" i="20"/>
  <c r="E60" i="7"/>
  <c r="H60" i="7"/>
  <c r="B62" i="7"/>
  <c r="C61" i="7"/>
  <c r="D61" i="7"/>
  <c r="F61" i="7"/>
  <c r="G61" i="7"/>
  <c r="O34" i="17"/>
  <c r="P34" i="17"/>
  <c r="G34" i="17"/>
  <c r="E34" i="17"/>
  <c r="F34" i="17"/>
  <c r="D33" i="17"/>
  <c r="B33" i="17"/>
  <c r="J33" i="10" s="1"/>
  <c r="C33" i="17"/>
  <c r="N46" i="20"/>
  <c r="AG46" i="20"/>
  <c r="W46" i="20"/>
  <c r="X46" i="20"/>
  <c r="AH46" i="20"/>
  <c r="AC42" i="20"/>
  <c r="L35" i="17"/>
  <c r="H35" i="17" s="1"/>
  <c r="R64" i="31"/>
  <c r="AD37" i="20"/>
  <c r="Y64" i="31" s="1"/>
  <c r="P73" i="31"/>
  <c r="C12" i="10"/>
  <c r="D64" i="31"/>
  <c r="K64" i="31"/>
  <c r="B73" i="31"/>
  <c r="F12" i="10"/>
  <c r="F64" i="31"/>
  <c r="C66" i="31"/>
  <c r="Q66" i="31"/>
  <c r="E65" i="31"/>
  <c r="AM38" i="20"/>
  <c r="L65" i="31" s="1"/>
  <c r="T65" i="31"/>
  <c r="A65" i="31"/>
  <c r="H65" i="31" s="1"/>
  <c r="O65" i="31" s="1"/>
  <c r="V65" i="31" s="1"/>
  <c r="A39" i="20"/>
  <c r="N37" i="17"/>
  <c r="S66" i="31"/>
  <c r="AN39" i="20"/>
  <c r="Z66" i="31" s="1"/>
  <c r="J38" i="20"/>
  <c r="W65" i="31" s="1"/>
  <c r="I38" i="20"/>
  <c r="I65" i="31" s="1"/>
  <c r="A56" i="9"/>
  <c r="B55" i="9"/>
  <c r="Y46" i="20" l="1"/>
  <c r="O47" i="20"/>
  <c r="H61" i="7"/>
  <c r="E61" i="7"/>
  <c r="B63" i="7"/>
  <c r="C62" i="7"/>
  <c r="D62" i="7"/>
  <c r="F62" i="7"/>
  <c r="G62" i="7"/>
  <c r="O35" i="17"/>
  <c r="P35" i="17"/>
  <c r="F35" i="17"/>
  <c r="E35" i="17"/>
  <c r="G35" i="17"/>
  <c r="B34" i="17"/>
  <c r="J34" i="10" s="1"/>
  <c r="C34" i="17"/>
  <c r="D34" i="17"/>
  <c r="N47" i="20"/>
  <c r="AG47" i="20"/>
  <c r="X47" i="20"/>
  <c r="W47" i="20"/>
  <c r="AC43" i="20"/>
  <c r="AH47" i="20"/>
  <c r="M47" i="20"/>
  <c r="L36" i="17"/>
  <c r="H36" i="17" s="1"/>
  <c r="A66" i="31"/>
  <c r="H66" i="31" s="1"/>
  <c r="O66" i="31" s="1"/>
  <c r="V66" i="31" s="1"/>
  <c r="N38" i="17"/>
  <c r="A40" i="20"/>
  <c r="C67" i="31"/>
  <c r="R65" i="31"/>
  <c r="AD38" i="20"/>
  <c r="Y65" i="31" s="1"/>
  <c r="E66" i="31"/>
  <c r="AM39" i="20"/>
  <c r="L66" i="31" s="1"/>
  <c r="Q67" i="31"/>
  <c r="F65" i="31"/>
  <c r="S67" i="31"/>
  <c r="AN40" i="20"/>
  <c r="Z67" i="31" s="1"/>
  <c r="I39" i="20"/>
  <c r="I66" i="31" s="1"/>
  <c r="J39" i="20"/>
  <c r="W66" i="31" s="1"/>
  <c r="T66" i="31"/>
  <c r="B74" i="31"/>
  <c r="F13" i="10"/>
  <c r="D65" i="31"/>
  <c r="K65" i="31"/>
  <c r="P74" i="31"/>
  <c r="C13" i="10"/>
  <c r="A57" i="9"/>
  <c r="B56" i="9"/>
  <c r="Y47" i="20" l="1"/>
  <c r="O48" i="20"/>
  <c r="H62" i="7"/>
  <c r="E62" i="7"/>
  <c r="B64" i="7"/>
  <c r="C63" i="7"/>
  <c r="D63" i="7"/>
  <c r="F63" i="7"/>
  <c r="G63" i="7"/>
  <c r="O36" i="17"/>
  <c r="P36" i="17"/>
  <c r="E36" i="17"/>
  <c r="G36" i="17"/>
  <c r="F36" i="17"/>
  <c r="B35" i="17"/>
  <c r="J35" i="10" s="1"/>
  <c r="D35" i="17"/>
  <c r="C35" i="17"/>
  <c r="AG48" i="20"/>
  <c r="N48" i="20"/>
  <c r="M48" i="20"/>
  <c r="W48" i="20"/>
  <c r="X48" i="20"/>
  <c r="AH48" i="20"/>
  <c r="AC44" i="20"/>
  <c r="L37" i="17"/>
  <c r="H37" i="17" s="1"/>
  <c r="P75" i="31"/>
  <c r="C14" i="10"/>
  <c r="S68" i="31"/>
  <c r="AN41" i="20"/>
  <c r="Z68" i="31" s="1"/>
  <c r="C68" i="31"/>
  <c r="A67" i="31"/>
  <c r="H67" i="31" s="1"/>
  <c r="O67" i="31" s="1"/>
  <c r="V67" i="31" s="1"/>
  <c r="A41" i="20"/>
  <c r="N39" i="17"/>
  <c r="F66" i="31"/>
  <c r="E67" i="31"/>
  <c r="AM40" i="20"/>
  <c r="L67" i="31" s="1"/>
  <c r="R66" i="31"/>
  <c r="AD39" i="20"/>
  <c r="Y66" i="31" s="1"/>
  <c r="D66" i="31"/>
  <c r="K66" i="31"/>
  <c r="B75" i="31"/>
  <c r="F14" i="10"/>
  <c r="T67" i="31"/>
  <c r="J40" i="20"/>
  <c r="W67" i="31" s="1"/>
  <c r="I40" i="20"/>
  <c r="I67" i="31" s="1"/>
  <c r="Q68" i="31"/>
  <c r="A58" i="9"/>
  <c r="B57" i="9"/>
  <c r="O49" i="20" l="1"/>
  <c r="Y48" i="20"/>
  <c r="E63" i="7"/>
  <c r="H63" i="7"/>
  <c r="B65" i="7"/>
  <c r="C64" i="7"/>
  <c r="D64" i="7"/>
  <c r="F64" i="7"/>
  <c r="G64" i="7"/>
  <c r="O37" i="17"/>
  <c r="P37" i="17"/>
  <c r="E37" i="17"/>
  <c r="G37" i="17"/>
  <c r="F37" i="17"/>
  <c r="B36" i="17"/>
  <c r="J36" i="10" s="1"/>
  <c r="D36" i="17"/>
  <c r="C36" i="17"/>
  <c r="N49" i="20"/>
  <c r="AG49" i="20"/>
  <c r="M49" i="20"/>
  <c r="W49" i="20"/>
  <c r="AC45" i="20"/>
  <c r="AH49" i="20"/>
  <c r="X49" i="20"/>
  <c r="L38" i="17"/>
  <c r="H38" i="17" s="1"/>
  <c r="T68" i="31"/>
  <c r="Q69" i="31"/>
  <c r="K67" i="31"/>
  <c r="D67" i="31"/>
  <c r="E68" i="31"/>
  <c r="AM41" i="20"/>
  <c r="L68" i="31" s="1"/>
  <c r="F67" i="31"/>
  <c r="A68" i="31"/>
  <c r="H68" i="31" s="1"/>
  <c r="O68" i="31" s="1"/>
  <c r="V68" i="31" s="1"/>
  <c r="N40" i="17"/>
  <c r="A42" i="20"/>
  <c r="I41" i="20"/>
  <c r="I68" i="31" s="1"/>
  <c r="J41" i="20"/>
  <c r="W68" i="31" s="1"/>
  <c r="R67" i="31"/>
  <c r="AD40" i="20"/>
  <c r="Y67" i="31" s="1"/>
  <c r="P76" i="31"/>
  <c r="C15" i="10"/>
  <c r="B76" i="31"/>
  <c r="F15" i="10"/>
  <c r="C69" i="31"/>
  <c r="S69" i="31"/>
  <c r="AN42" i="20"/>
  <c r="Z69" i="31" s="1"/>
  <c r="A59" i="9"/>
  <c r="B58" i="9"/>
  <c r="O50" i="20" l="1"/>
  <c r="Y49" i="20"/>
  <c r="E64" i="7"/>
  <c r="H64" i="7"/>
  <c r="B66" i="7"/>
  <c r="C65" i="7"/>
  <c r="D65" i="7"/>
  <c r="F65" i="7"/>
  <c r="G65" i="7"/>
  <c r="O38" i="17"/>
  <c r="P38" i="17"/>
  <c r="E38" i="17"/>
  <c r="G38" i="17"/>
  <c r="F38" i="17"/>
  <c r="C37" i="17"/>
  <c r="D37" i="17"/>
  <c r="B37" i="17"/>
  <c r="J37" i="10" s="1"/>
  <c r="AG50" i="20"/>
  <c r="N50" i="20"/>
  <c r="X50" i="20"/>
  <c r="AH50" i="20"/>
  <c r="AC46" i="20"/>
  <c r="W50" i="20"/>
  <c r="M50" i="20"/>
  <c r="L39" i="17"/>
  <c r="H39" i="17" s="1"/>
  <c r="S70" i="31"/>
  <c r="AN43" i="20"/>
  <c r="Z70" i="31" s="1"/>
  <c r="B77" i="31"/>
  <c r="F16" i="10"/>
  <c r="R68" i="31"/>
  <c r="AD41" i="20"/>
  <c r="Y68" i="31" s="1"/>
  <c r="E69" i="31"/>
  <c r="AM42" i="20"/>
  <c r="L69" i="31" s="1"/>
  <c r="D68" i="31"/>
  <c r="K68" i="31"/>
  <c r="Q70" i="31"/>
  <c r="I42" i="20"/>
  <c r="I69" i="31" s="1"/>
  <c r="J42" i="20"/>
  <c r="W69" i="31" s="1"/>
  <c r="T69" i="31"/>
  <c r="C70" i="31"/>
  <c r="P77" i="31"/>
  <c r="C16" i="10"/>
  <c r="A69" i="31"/>
  <c r="H69" i="31" s="1"/>
  <c r="O69" i="31" s="1"/>
  <c r="V69" i="31" s="1"/>
  <c r="N41" i="17"/>
  <c r="A43" i="20"/>
  <c r="F68" i="31"/>
  <c r="B59" i="9"/>
  <c r="A60" i="9"/>
  <c r="Y50" i="20" l="1"/>
  <c r="O51" i="20"/>
  <c r="H65" i="7"/>
  <c r="E65" i="7"/>
  <c r="B67" i="7"/>
  <c r="C66" i="7"/>
  <c r="D66" i="7"/>
  <c r="F66" i="7"/>
  <c r="G66" i="7"/>
  <c r="O39" i="17"/>
  <c r="P39" i="17"/>
  <c r="F39" i="17"/>
  <c r="G39" i="17"/>
  <c r="E39" i="17"/>
  <c r="C38" i="17"/>
  <c r="B38" i="17"/>
  <c r="J38" i="10" s="1"/>
  <c r="D38" i="17"/>
  <c r="M51" i="20"/>
  <c r="N51" i="20"/>
  <c r="AG51" i="20"/>
  <c r="AH51" i="20"/>
  <c r="W51" i="20"/>
  <c r="X51" i="20"/>
  <c r="AC47" i="20"/>
  <c r="L40" i="17"/>
  <c r="H40" i="17" s="1"/>
  <c r="A70" i="31"/>
  <c r="H70" i="31" s="1"/>
  <c r="O70" i="31" s="1"/>
  <c r="V70" i="31" s="1"/>
  <c r="A44" i="20"/>
  <c r="N42" i="17"/>
  <c r="F17" i="10"/>
  <c r="S71" i="31"/>
  <c r="AN44" i="20"/>
  <c r="Z71" i="31" s="1"/>
  <c r="F69" i="31"/>
  <c r="C17" i="10"/>
  <c r="C71" i="31"/>
  <c r="Q71" i="31"/>
  <c r="T70" i="31"/>
  <c r="J43" i="20"/>
  <c r="W70" i="31" s="1"/>
  <c r="I43" i="20"/>
  <c r="I70" i="31" s="1"/>
  <c r="D69" i="31"/>
  <c r="K69" i="31"/>
  <c r="E70" i="31"/>
  <c r="AM43" i="20"/>
  <c r="L70" i="31" s="1"/>
  <c r="R69" i="31"/>
  <c r="AD42" i="20"/>
  <c r="Y69" i="31" s="1"/>
  <c r="A61" i="9"/>
  <c r="B60" i="9"/>
  <c r="Y51" i="20" l="1"/>
  <c r="O52" i="20"/>
  <c r="H66" i="7"/>
  <c r="E66" i="7"/>
  <c r="B68" i="7"/>
  <c r="C67" i="7"/>
  <c r="D67" i="7"/>
  <c r="F67" i="7"/>
  <c r="G67" i="7"/>
  <c r="O40" i="17"/>
  <c r="P40" i="17"/>
  <c r="G40" i="17"/>
  <c r="F40" i="17"/>
  <c r="E40" i="17"/>
  <c r="D39" i="17"/>
  <c r="B39" i="17"/>
  <c r="J39" i="10" s="1"/>
  <c r="C39" i="17"/>
  <c r="N52" i="20"/>
  <c r="AG52" i="20"/>
  <c r="AC48" i="20"/>
  <c r="AH52" i="20"/>
  <c r="W52" i="20"/>
  <c r="M52" i="20"/>
  <c r="X52" i="20"/>
  <c r="L41" i="17"/>
  <c r="H41" i="17" s="1"/>
  <c r="I44" i="20"/>
  <c r="I71" i="31" s="1"/>
  <c r="J44" i="20"/>
  <c r="W71" i="31" s="1"/>
  <c r="C18" i="10"/>
  <c r="F70" i="31"/>
  <c r="E71" i="31"/>
  <c r="AM44" i="20"/>
  <c r="L71" i="31" s="1"/>
  <c r="D70" i="31"/>
  <c r="K70" i="31"/>
  <c r="F18" i="10"/>
  <c r="N43" i="17"/>
  <c r="A71" i="31"/>
  <c r="H71" i="31" s="1"/>
  <c r="O71" i="31" s="1"/>
  <c r="V71" i="31" s="1"/>
  <c r="A45" i="20"/>
  <c r="Q72" i="31"/>
  <c r="R70" i="31"/>
  <c r="AD43" i="20"/>
  <c r="Y70" i="31" s="1"/>
  <c r="T71" i="31"/>
  <c r="C72" i="31"/>
  <c r="S72" i="31"/>
  <c r="AN45" i="20"/>
  <c r="Z72" i="31" s="1"/>
  <c r="B61" i="9"/>
  <c r="A62" i="9"/>
  <c r="Y52" i="20" l="1"/>
  <c r="O53" i="20"/>
  <c r="E67" i="7"/>
  <c r="H67" i="7"/>
  <c r="B69" i="7"/>
  <c r="C68" i="7"/>
  <c r="D68" i="7"/>
  <c r="F68" i="7"/>
  <c r="G68" i="7"/>
  <c r="O41" i="17"/>
  <c r="P41" i="17"/>
  <c r="E41" i="17"/>
  <c r="G41" i="17"/>
  <c r="F41" i="17"/>
  <c r="C40" i="17"/>
  <c r="D40" i="17"/>
  <c r="B40" i="17"/>
  <c r="J40" i="10" s="1"/>
  <c r="AH53" i="20"/>
  <c r="N53" i="20"/>
  <c r="AG53" i="20"/>
  <c r="X53" i="20"/>
  <c r="M53" i="20"/>
  <c r="W53" i="20"/>
  <c r="AC49" i="20"/>
  <c r="L42" i="17"/>
  <c r="H42" i="17" s="1"/>
  <c r="C73" i="31"/>
  <c r="F71" i="31"/>
  <c r="C19" i="10"/>
  <c r="A72" i="31"/>
  <c r="H72" i="31" s="1"/>
  <c r="O72" i="31" s="1"/>
  <c r="V72" i="31" s="1"/>
  <c r="A46" i="20"/>
  <c r="N44" i="17"/>
  <c r="R71" i="31"/>
  <c r="AD44" i="20"/>
  <c r="Y71" i="31" s="1"/>
  <c r="Q73" i="31"/>
  <c r="D71" i="31"/>
  <c r="K71" i="31"/>
  <c r="E72" i="31"/>
  <c r="AM45" i="20"/>
  <c r="L72" i="31" s="1"/>
  <c r="S73" i="31"/>
  <c r="AN46" i="20"/>
  <c r="Z73" i="31" s="1"/>
  <c r="T72" i="31"/>
  <c r="F19" i="10"/>
  <c r="I45" i="20"/>
  <c r="I72" i="31" s="1"/>
  <c r="J45" i="20"/>
  <c r="W72" i="31" s="1"/>
  <c r="B62" i="9"/>
  <c r="A63" i="9"/>
  <c r="O54" i="20" l="1"/>
  <c r="Y53" i="20"/>
  <c r="E68" i="7"/>
  <c r="H68" i="7"/>
  <c r="B70" i="7"/>
  <c r="C69" i="7"/>
  <c r="D69" i="7"/>
  <c r="F69" i="7"/>
  <c r="G69" i="7"/>
  <c r="O42" i="17"/>
  <c r="P42" i="17"/>
  <c r="F42" i="17"/>
  <c r="G42" i="17"/>
  <c r="E42" i="17"/>
  <c r="D41" i="17"/>
  <c r="C41" i="17"/>
  <c r="B41" i="17"/>
  <c r="J41" i="10" s="1"/>
  <c r="AG54" i="20"/>
  <c r="N54" i="20"/>
  <c r="AC50" i="20"/>
  <c r="W54" i="20"/>
  <c r="AH54" i="20"/>
  <c r="X54" i="20"/>
  <c r="M54" i="20"/>
  <c r="L43" i="17"/>
  <c r="H43" i="17" s="1"/>
  <c r="D72" i="31"/>
  <c r="K72" i="31"/>
  <c r="Q74" i="31"/>
  <c r="S74" i="31"/>
  <c r="AN47" i="20"/>
  <c r="Z74" i="31" s="1"/>
  <c r="F20" i="10"/>
  <c r="E73" i="31"/>
  <c r="AM46" i="20"/>
  <c r="L73" i="31" s="1"/>
  <c r="J46" i="20"/>
  <c r="W73" i="31" s="1"/>
  <c r="I46" i="20"/>
  <c r="I73" i="31" s="1"/>
  <c r="T73" i="31"/>
  <c r="R72" i="31"/>
  <c r="AD45" i="20"/>
  <c r="Y72" i="31" s="1"/>
  <c r="A73" i="31"/>
  <c r="H73" i="31" s="1"/>
  <c r="O73" i="31" s="1"/>
  <c r="V73" i="31" s="1"/>
  <c r="A47" i="20"/>
  <c r="N45" i="17"/>
  <c r="C20" i="10"/>
  <c r="F72" i="31"/>
  <c r="C74" i="31"/>
  <c r="A64" i="9"/>
  <c r="B63" i="9"/>
  <c r="Y54" i="20" l="1"/>
  <c r="O55" i="20"/>
  <c r="E69" i="7"/>
  <c r="H69" i="7"/>
  <c r="B71" i="7"/>
  <c r="C70" i="7"/>
  <c r="D70" i="7"/>
  <c r="F70" i="7"/>
  <c r="G70" i="7"/>
  <c r="O43" i="17"/>
  <c r="P43" i="17"/>
  <c r="G43" i="17"/>
  <c r="E43" i="17"/>
  <c r="F43" i="17"/>
  <c r="C42" i="17"/>
  <c r="D42" i="17"/>
  <c r="B42" i="17"/>
  <c r="J42" i="10" s="1"/>
  <c r="X55" i="20"/>
  <c r="AH55" i="20"/>
  <c r="N55" i="20"/>
  <c r="AG55" i="20"/>
  <c r="M55" i="20"/>
  <c r="AC51" i="20"/>
  <c r="W55" i="20"/>
  <c r="L44" i="17"/>
  <c r="H44" i="17" s="1"/>
  <c r="S75" i="31"/>
  <c r="AN48" i="20"/>
  <c r="Z75" i="31" s="1"/>
  <c r="D73" i="31"/>
  <c r="K73" i="31"/>
  <c r="T74" i="31"/>
  <c r="E74" i="31"/>
  <c r="AM47" i="20"/>
  <c r="L74" i="31" s="1"/>
  <c r="C75" i="31"/>
  <c r="R73" i="31"/>
  <c r="AD46" i="20"/>
  <c r="Y73" i="31" s="1"/>
  <c r="J47" i="20"/>
  <c r="W74" i="31" s="1"/>
  <c r="I47" i="20"/>
  <c r="I74" i="31" s="1"/>
  <c r="F21" i="10"/>
  <c r="Q75" i="31"/>
  <c r="F73" i="31"/>
  <c r="C21" i="10"/>
  <c r="A74" i="31"/>
  <c r="H74" i="31" s="1"/>
  <c r="O74" i="31" s="1"/>
  <c r="V74" i="31" s="1"/>
  <c r="N46" i="17"/>
  <c r="A48" i="20"/>
  <c r="A65" i="9"/>
  <c r="B64" i="9"/>
  <c r="Y55" i="20" l="1"/>
  <c r="O56" i="20"/>
  <c r="H70" i="7"/>
  <c r="E70" i="7"/>
  <c r="B72" i="7"/>
  <c r="C71" i="7"/>
  <c r="D71" i="7"/>
  <c r="F71" i="7"/>
  <c r="G71" i="7"/>
  <c r="O44" i="17"/>
  <c r="P44" i="17"/>
  <c r="E44" i="17"/>
  <c r="F44" i="17"/>
  <c r="G44" i="17"/>
  <c r="D43" i="17"/>
  <c r="C43" i="17"/>
  <c r="B43" i="17"/>
  <c r="J43" i="10" s="1"/>
  <c r="M56" i="20"/>
  <c r="N56" i="20"/>
  <c r="AG56" i="20"/>
  <c r="X56" i="20"/>
  <c r="AH56" i="20"/>
  <c r="AC52" i="20"/>
  <c r="W56" i="20"/>
  <c r="L45" i="17"/>
  <c r="H45" i="17" s="1"/>
  <c r="T75" i="31"/>
  <c r="F74" i="31"/>
  <c r="C76" i="31"/>
  <c r="A75" i="31"/>
  <c r="H75" i="31" s="1"/>
  <c r="O75" i="31" s="1"/>
  <c r="V75" i="31" s="1"/>
  <c r="N47" i="17"/>
  <c r="A49" i="20"/>
  <c r="C22" i="10"/>
  <c r="I48" i="20"/>
  <c r="I75" i="31" s="1"/>
  <c r="J48" i="20"/>
  <c r="W75" i="31" s="1"/>
  <c r="E75" i="31"/>
  <c r="AM48" i="20"/>
  <c r="L75" i="31" s="1"/>
  <c r="R74" i="31"/>
  <c r="AD47" i="20"/>
  <c r="Y74" i="31" s="1"/>
  <c r="D74" i="31"/>
  <c r="K74" i="31"/>
  <c r="S76" i="31"/>
  <c r="AN49" i="20"/>
  <c r="Z76" i="31" s="1"/>
  <c r="Q76" i="31"/>
  <c r="F22" i="10"/>
  <c r="B65" i="9"/>
  <c r="A66" i="9"/>
  <c r="Y56" i="20" l="1"/>
  <c r="O57" i="20"/>
  <c r="E71" i="7"/>
  <c r="H71" i="7"/>
  <c r="B73" i="7"/>
  <c r="C72" i="7"/>
  <c r="D72" i="7"/>
  <c r="F72" i="7"/>
  <c r="G72" i="7"/>
  <c r="O45" i="17"/>
  <c r="P45" i="17"/>
  <c r="G45" i="17"/>
  <c r="F45" i="17"/>
  <c r="E45" i="17"/>
  <c r="D44" i="17"/>
  <c r="C44" i="17"/>
  <c r="B44" i="17"/>
  <c r="J44" i="10" s="1"/>
  <c r="AG57" i="20"/>
  <c r="N57" i="20"/>
  <c r="X57" i="20"/>
  <c r="AC53" i="20"/>
  <c r="M57" i="20"/>
  <c r="W57" i="20"/>
  <c r="AH57" i="20"/>
  <c r="L46" i="17"/>
  <c r="H46" i="17" s="1"/>
  <c r="R75" i="31"/>
  <c r="AD48" i="20"/>
  <c r="Y75" i="31" s="1"/>
  <c r="S77" i="31"/>
  <c r="AN50" i="20"/>
  <c r="Z77" i="31" s="1"/>
  <c r="E76" i="31"/>
  <c r="AM49" i="20"/>
  <c r="L76" i="31" s="1"/>
  <c r="A76" i="31"/>
  <c r="H76" i="31" s="1"/>
  <c r="O76" i="31" s="1"/>
  <c r="V76" i="31" s="1"/>
  <c r="N48" i="17"/>
  <c r="A50" i="20"/>
  <c r="F75" i="31"/>
  <c r="F23" i="10"/>
  <c r="Q77" i="31"/>
  <c r="C23" i="10"/>
  <c r="C77" i="31"/>
  <c r="T76" i="31"/>
  <c r="D75" i="31"/>
  <c r="K75" i="31"/>
  <c r="J49" i="20"/>
  <c r="W76" i="31" s="1"/>
  <c r="I49" i="20"/>
  <c r="I76" i="31" s="1"/>
  <c r="A67" i="9"/>
  <c r="B66" i="9"/>
  <c r="Y57" i="20" l="1"/>
  <c r="O58" i="20"/>
  <c r="H72" i="7"/>
  <c r="E72" i="7"/>
  <c r="B74" i="7"/>
  <c r="C73" i="7"/>
  <c r="D73" i="7"/>
  <c r="F73" i="7"/>
  <c r="G73" i="7"/>
  <c r="O46" i="17"/>
  <c r="P46" i="17"/>
  <c r="E46" i="17"/>
  <c r="F46" i="17"/>
  <c r="G46" i="17"/>
  <c r="D45" i="17"/>
  <c r="C45" i="17"/>
  <c r="B45" i="17"/>
  <c r="J45" i="10" s="1"/>
  <c r="AH58" i="20"/>
  <c r="AG58" i="20"/>
  <c r="M58" i="20"/>
  <c r="N58" i="20"/>
  <c r="W58" i="20"/>
  <c r="X58" i="20"/>
  <c r="AC54" i="20"/>
  <c r="L47" i="17"/>
  <c r="H47" i="17" s="1"/>
  <c r="C24" i="10"/>
  <c r="J50" i="20"/>
  <c r="W77" i="31" s="1"/>
  <c r="I50" i="20"/>
  <c r="I77" i="31" s="1"/>
  <c r="R76" i="31"/>
  <c r="AD49" i="20"/>
  <c r="Y76" i="31" s="1"/>
  <c r="E77" i="31"/>
  <c r="AM50" i="20"/>
  <c r="L77" i="31" s="1"/>
  <c r="AN51" i="20"/>
  <c r="T77" i="31"/>
  <c r="F76" i="31"/>
  <c r="D76" i="31"/>
  <c r="K76" i="31"/>
  <c r="F24" i="10"/>
  <c r="A77" i="31"/>
  <c r="H77" i="31" s="1"/>
  <c r="O77" i="31" s="1"/>
  <c r="V77" i="31" s="1"/>
  <c r="N49" i="17"/>
  <c r="A51" i="20"/>
  <c r="B67" i="9"/>
  <c r="A68" i="9"/>
  <c r="O59" i="20" l="1"/>
  <c r="Y58" i="20"/>
  <c r="H73" i="7"/>
  <c r="E73" i="7"/>
  <c r="B75" i="7"/>
  <c r="C74" i="7"/>
  <c r="D74" i="7"/>
  <c r="F74" i="7"/>
  <c r="G74" i="7"/>
  <c r="O47" i="17"/>
  <c r="P47" i="17"/>
  <c r="G47" i="17"/>
  <c r="F47" i="17"/>
  <c r="E47" i="17"/>
  <c r="B46" i="17"/>
  <c r="J46" i="10" s="1"/>
  <c r="C46" i="17"/>
  <c r="D46" i="17"/>
  <c r="AG59" i="20"/>
  <c r="N59" i="20"/>
  <c r="M59" i="20"/>
  <c r="AH59" i="20"/>
  <c r="AC55" i="20"/>
  <c r="W59" i="20"/>
  <c r="X59" i="20"/>
  <c r="L48" i="17"/>
  <c r="H48" i="17" s="1"/>
  <c r="AN52" i="20"/>
  <c r="F25" i="10"/>
  <c r="C25" i="10"/>
  <c r="N50" i="17"/>
  <c r="A52" i="20"/>
  <c r="J51" i="20"/>
  <c r="I51" i="20"/>
  <c r="F77" i="31"/>
  <c r="D77" i="31"/>
  <c r="K77" i="31"/>
  <c r="AM51" i="20"/>
  <c r="R77" i="31"/>
  <c r="AD50" i="20"/>
  <c r="Y77" i="31" s="1"/>
  <c r="B68" i="9"/>
  <c r="A69" i="9"/>
  <c r="O60" i="20" l="1"/>
  <c r="Y59" i="20"/>
  <c r="H74" i="7"/>
  <c r="E74" i="7"/>
  <c r="B76" i="7"/>
  <c r="C75" i="7"/>
  <c r="D75" i="7"/>
  <c r="F75" i="7"/>
  <c r="G75" i="7"/>
  <c r="O48" i="17"/>
  <c r="P48" i="17"/>
  <c r="E48" i="17"/>
  <c r="F48" i="17"/>
  <c r="G48" i="17"/>
  <c r="B47" i="17"/>
  <c r="J47" i="10" s="1"/>
  <c r="D47" i="17"/>
  <c r="C47" i="17"/>
  <c r="AG60" i="20"/>
  <c r="AG61" i="20" s="1"/>
  <c r="F26" i="10"/>
  <c r="N60" i="20"/>
  <c r="N61" i="20" s="1"/>
  <c r="C26" i="10"/>
  <c r="X60" i="20"/>
  <c r="X61" i="20" s="1"/>
  <c r="AC56" i="20"/>
  <c r="AH60" i="20"/>
  <c r="AH61" i="20" s="1"/>
  <c r="M60" i="20"/>
  <c r="M61" i="20" s="1"/>
  <c r="W60" i="20"/>
  <c r="W61" i="20" s="1"/>
  <c r="L49" i="17"/>
  <c r="H49" i="17" s="1"/>
  <c r="AM52" i="20"/>
  <c r="AN53" i="20"/>
  <c r="AD51" i="20"/>
  <c r="J52" i="20"/>
  <c r="I52" i="20"/>
  <c r="A53" i="20"/>
  <c r="N51" i="17"/>
  <c r="B69" i="9"/>
  <c r="A70" i="9"/>
  <c r="B70" i="9" s="1"/>
  <c r="O61" i="20" l="1"/>
  <c r="Y60" i="20"/>
  <c r="H75" i="7"/>
  <c r="E75" i="7"/>
  <c r="C76" i="7"/>
  <c r="D76" i="7"/>
  <c r="F76" i="7"/>
  <c r="F36" i="7" s="1"/>
  <c r="G76" i="7"/>
  <c r="O49" i="17"/>
  <c r="P49" i="17"/>
  <c r="F49" i="17"/>
  <c r="E49" i="17"/>
  <c r="G49" i="17"/>
  <c r="C48" i="17"/>
  <c r="F48" i="10" s="1"/>
  <c r="D48" i="17"/>
  <c r="C48" i="10" s="1"/>
  <c r="B48" i="17"/>
  <c r="J48" i="10" s="1"/>
  <c r="N62" i="20"/>
  <c r="W62" i="20"/>
  <c r="M62" i="20"/>
  <c r="AM61" i="20"/>
  <c r="AG62" i="20"/>
  <c r="AN61" i="20"/>
  <c r="AH62" i="20"/>
  <c r="X62" i="20"/>
  <c r="C27" i="10"/>
  <c r="F27" i="10"/>
  <c r="AC57" i="20"/>
  <c r="L50" i="17"/>
  <c r="H50" i="17" s="1"/>
  <c r="A54" i="20"/>
  <c r="N52" i="17"/>
  <c r="AM53" i="20"/>
  <c r="I53" i="20"/>
  <c r="J53" i="20"/>
  <c r="AD52" i="20"/>
  <c r="AN54" i="20"/>
  <c r="O62" i="20" l="1"/>
  <c r="Y61" i="20"/>
  <c r="E76" i="7"/>
  <c r="H76" i="7"/>
  <c r="H36" i="7" s="1"/>
  <c r="G36" i="7"/>
  <c r="O50" i="17"/>
  <c r="O51" i="17" s="1"/>
  <c r="O52" i="17" s="1"/>
  <c r="O53" i="17" s="1"/>
  <c r="O54" i="17" s="1"/>
  <c r="O55" i="17" s="1"/>
  <c r="O56" i="17" s="1"/>
  <c r="O57" i="17" s="1"/>
  <c r="O58" i="17" s="1"/>
  <c r="O59" i="17" s="1"/>
  <c r="O60" i="17" s="1"/>
  <c r="O61" i="17" s="1"/>
  <c r="O62" i="17" s="1"/>
  <c r="O63" i="17" s="1"/>
  <c r="O64" i="17" s="1"/>
  <c r="O65" i="17" s="1"/>
  <c r="O66" i="17" s="1"/>
  <c r="O67" i="17" s="1"/>
  <c r="O68" i="17" s="1"/>
  <c r="O69" i="17" s="1"/>
  <c r="O70" i="17" s="1"/>
  <c r="O71" i="17" s="1"/>
  <c r="O72" i="17" s="1"/>
  <c r="O73" i="17" s="1"/>
  <c r="O74" i="17" s="1"/>
  <c r="O75" i="17" s="1"/>
  <c r="O76" i="17" s="1"/>
  <c r="O77" i="17" s="1"/>
  <c r="O78" i="17" s="1"/>
  <c r="O79" i="17" s="1"/>
  <c r="O80" i="17" s="1"/>
  <c r="O81" i="17" s="1"/>
  <c r="O82" i="17" s="1"/>
  <c r="O83" i="17" s="1"/>
  <c r="O84" i="17" s="1"/>
  <c r="P50" i="17"/>
  <c r="G50" i="17"/>
  <c r="F50" i="17"/>
  <c r="E50" i="17"/>
  <c r="C49" i="17"/>
  <c r="F49" i="10" s="1"/>
  <c r="D49" i="17"/>
  <c r="C49" i="10" s="1"/>
  <c r="B49" i="17"/>
  <c r="J49" i="10" s="1"/>
  <c r="X63" i="20"/>
  <c r="AM62" i="20"/>
  <c r="AG63" i="20"/>
  <c r="M63" i="20"/>
  <c r="W63" i="20"/>
  <c r="N63" i="20"/>
  <c r="AN62" i="20"/>
  <c r="AH63" i="20"/>
  <c r="F28" i="10"/>
  <c r="C28" i="10"/>
  <c r="AC58" i="20"/>
  <c r="AN55" i="20"/>
  <c r="I54" i="20"/>
  <c r="J54" i="20"/>
  <c r="AD53" i="20"/>
  <c r="AM54" i="20"/>
  <c r="A55" i="20"/>
  <c r="N53" i="17"/>
  <c r="Y62" i="20" l="1"/>
  <c r="O63" i="20"/>
  <c r="P51" i="17"/>
  <c r="D50" i="17"/>
  <c r="C50" i="10" s="1"/>
  <c r="B50" i="17"/>
  <c r="J50" i="10" s="1"/>
  <c r="C50" i="17"/>
  <c r="F50" i="10" s="1"/>
  <c r="AN63" i="20"/>
  <c r="AH64" i="20"/>
  <c r="N64" i="20"/>
  <c r="W64" i="20"/>
  <c r="AM63" i="20"/>
  <c r="AG64" i="20"/>
  <c r="M64" i="20"/>
  <c r="X64" i="20"/>
  <c r="F29" i="10"/>
  <c r="C29" i="10"/>
  <c r="AC59" i="20"/>
  <c r="AD54" i="20"/>
  <c r="J55" i="20"/>
  <c r="I55" i="20"/>
  <c r="A56" i="20"/>
  <c r="N54" i="17"/>
  <c r="AM55" i="20"/>
  <c r="AN56" i="20"/>
  <c r="Y63" i="20" l="1"/>
  <c r="O64" i="20"/>
  <c r="A57" i="20"/>
  <c r="N55" i="17"/>
  <c r="P52" i="17"/>
  <c r="W65" i="20"/>
  <c r="AM64" i="20"/>
  <c r="AG65" i="20"/>
  <c r="N65" i="20"/>
  <c r="X65" i="20"/>
  <c r="M65" i="20"/>
  <c r="AN64" i="20"/>
  <c r="AH65" i="20"/>
  <c r="AC61" i="20"/>
  <c r="AD61" i="20"/>
  <c r="C30" i="10"/>
  <c r="AC60" i="20"/>
  <c r="F30" i="10"/>
  <c r="J56" i="20"/>
  <c r="I56" i="20"/>
  <c r="AN57" i="20"/>
  <c r="AM56" i="20"/>
  <c r="AD55" i="20"/>
  <c r="Y64" i="20" l="1"/>
  <c r="O65" i="20"/>
  <c r="A58" i="20"/>
  <c r="N56" i="17"/>
  <c r="P53" i="17"/>
  <c r="AM65" i="20"/>
  <c r="AG66" i="20"/>
  <c r="AD62" i="20"/>
  <c r="AC62" i="20"/>
  <c r="AN65" i="20"/>
  <c r="AH66" i="20"/>
  <c r="M66" i="20"/>
  <c r="X66" i="20"/>
  <c r="N66" i="20"/>
  <c r="W66" i="20"/>
  <c r="F31" i="10"/>
  <c r="C31" i="10"/>
  <c r="AN58" i="20"/>
  <c r="I57" i="20"/>
  <c r="J57" i="20"/>
  <c r="AM57" i="20"/>
  <c r="AD56" i="20"/>
  <c r="O66" i="20" l="1"/>
  <c r="Y65" i="20"/>
  <c r="A59" i="20"/>
  <c r="N57" i="17"/>
  <c r="P54" i="17"/>
  <c r="W67" i="20"/>
  <c r="N67" i="20"/>
  <c r="M67" i="20"/>
  <c r="AN66" i="20"/>
  <c r="AH67" i="20"/>
  <c r="X67" i="20"/>
  <c r="AM66" i="20"/>
  <c r="AG67" i="20"/>
  <c r="AC63" i="20"/>
  <c r="AD63" i="20"/>
  <c r="C32" i="10"/>
  <c r="F32" i="10"/>
  <c r="AN59" i="20"/>
  <c r="AN60" i="20"/>
  <c r="AD57" i="20"/>
  <c r="AM58" i="20"/>
  <c r="I58" i="20"/>
  <c r="J58" i="20"/>
  <c r="O67" i="20" l="1"/>
  <c r="Y66" i="20"/>
  <c r="A60" i="20"/>
  <c r="N58" i="17"/>
  <c r="P55" i="17"/>
  <c r="AC64" i="20"/>
  <c r="AD64" i="20"/>
  <c r="M68" i="20"/>
  <c r="AM67" i="20"/>
  <c r="AG68" i="20"/>
  <c r="N68" i="20"/>
  <c r="W68" i="20"/>
  <c r="X68" i="20"/>
  <c r="AN67" i="20"/>
  <c r="AH68" i="20"/>
  <c r="F33" i="10"/>
  <c r="C33" i="10"/>
  <c r="AD58" i="20"/>
  <c r="I59" i="20"/>
  <c r="J59" i="20"/>
  <c r="AM59" i="20"/>
  <c r="O68" i="20" l="1"/>
  <c r="Y67" i="20"/>
  <c r="A61" i="20"/>
  <c r="N59" i="17"/>
  <c r="P56" i="17"/>
  <c r="W69" i="20"/>
  <c r="X69" i="20"/>
  <c r="AN68" i="20"/>
  <c r="AH69" i="20"/>
  <c r="M69" i="20"/>
  <c r="I61" i="20"/>
  <c r="J61" i="20"/>
  <c r="N69" i="20"/>
  <c r="AM68" i="20"/>
  <c r="AG69" i="20"/>
  <c r="AC65" i="20"/>
  <c r="AD65" i="20"/>
  <c r="C34" i="10"/>
  <c r="F34" i="10"/>
  <c r="AM60" i="20"/>
  <c r="AD59" i="20"/>
  <c r="AD60" i="20"/>
  <c r="J60" i="20"/>
  <c r="I60" i="20"/>
  <c r="Y68" i="20" l="1"/>
  <c r="O69" i="20"/>
  <c r="N60" i="17"/>
  <c r="A62" i="20"/>
  <c r="P57" i="17"/>
  <c r="M70" i="20"/>
  <c r="N70" i="20"/>
  <c r="I62" i="20"/>
  <c r="J62" i="20"/>
  <c r="AN69" i="20"/>
  <c r="AH70" i="20"/>
  <c r="X70" i="20"/>
  <c r="AM69" i="20"/>
  <c r="AG70" i="20"/>
  <c r="W70" i="20"/>
  <c r="AC66" i="20"/>
  <c r="AD66" i="20"/>
  <c r="C35" i="10"/>
  <c r="F35" i="10"/>
  <c r="O70" i="20" l="1"/>
  <c r="Y69" i="20"/>
  <c r="A63" i="20"/>
  <c r="N61" i="17"/>
  <c r="P58" i="17"/>
  <c r="W71" i="20"/>
  <c r="AN70" i="20"/>
  <c r="AH71" i="20"/>
  <c r="X71" i="20"/>
  <c r="I63" i="20"/>
  <c r="J63" i="20"/>
  <c r="AC67" i="20"/>
  <c r="AD67" i="20"/>
  <c r="AM70" i="20"/>
  <c r="AG71" i="20"/>
  <c r="N71" i="20"/>
  <c r="M71" i="20"/>
  <c r="C36" i="10"/>
  <c r="F36" i="10"/>
  <c r="Y70" i="20" l="1"/>
  <c r="O71" i="20"/>
  <c r="A64" i="20"/>
  <c r="N62" i="17"/>
  <c r="P59" i="17"/>
  <c r="AM71" i="20"/>
  <c r="AG72" i="20"/>
  <c r="AC68" i="20"/>
  <c r="AD68" i="20"/>
  <c r="J64" i="20"/>
  <c r="I64" i="20"/>
  <c r="X72" i="20"/>
  <c r="AN71" i="20"/>
  <c r="AH72" i="20"/>
  <c r="M72" i="20"/>
  <c r="W72" i="20"/>
  <c r="N72" i="20"/>
  <c r="C37" i="10"/>
  <c r="F37" i="10"/>
  <c r="O72" i="20" l="1"/>
  <c r="Y71" i="20"/>
  <c r="A65" i="20"/>
  <c r="N63" i="17"/>
  <c r="P60" i="17"/>
  <c r="X73" i="20"/>
  <c r="M73" i="20"/>
  <c r="AM72" i="20"/>
  <c r="AG73" i="20"/>
  <c r="W73" i="20"/>
  <c r="AN72" i="20"/>
  <c r="AH73" i="20"/>
  <c r="I65" i="20"/>
  <c r="J65" i="20"/>
  <c r="AD69" i="20"/>
  <c r="AC69" i="20"/>
  <c r="N73" i="20"/>
  <c r="C38" i="10"/>
  <c r="F38" i="10"/>
  <c r="O73" i="20" l="1"/>
  <c r="Y72" i="20"/>
  <c r="A66" i="20"/>
  <c r="N64" i="17"/>
  <c r="P61" i="17"/>
  <c r="AC70" i="20"/>
  <c r="AD70" i="20"/>
  <c r="AN73" i="20"/>
  <c r="AH74" i="20"/>
  <c r="M74" i="20"/>
  <c r="N74" i="20"/>
  <c r="J66" i="20"/>
  <c r="I66" i="20"/>
  <c r="W74" i="20"/>
  <c r="AM73" i="20"/>
  <c r="AG74" i="20"/>
  <c r="X74" i="20"/>
  <c r="F39" i="10"/>
  <c r="C39" i="10"/>
  <c r="O74" i="20" l="1"/>
  <c r="Y73" i="20"/>
  <c r="A67" i="20"/>
  <c r="N65" i="17"/>
  <c r="P62" i="17"/>
  <c r="W75" i="20"/>
  <c r="I67" i="20"/>
  <c r="J67" i="20"/>
  <c r="N75" i="20"/>
  <c r="M75" i="20"/>
  <c r="AN74" i="20"/>
  <c r="AH75" i="20"/>
  <c r="X75" i="20"/>
  <c r="AM74" i="20"/>
  <c r="AG75" i="20"/>
  <c r="AD71" i="20"/>
  <c r="AC71" i="20"/>
  <c r="F40" i="10"/>
  <c r="C40" i="10"/>
  <c r="Y74" i="20" l="1"/>
  <c r="O75" i="20"/>
  <c r="A68" i="20"/>
  <c r="N66" i="17"/>
  <c r="P63" i="17"/>
  <c r="X76" i="20"/>
  <c r="AD72" i="20"/>
  <c r="AC72" i="20"/>
  <c r="W76" i="20"/>
  <c r="AM75" i="20"/>
  <c r="AG76" i="20"/>
  <c r="AN75" i="20"/>
  <c r="AH76" i="20"/>
  <c r="M76" i="20"/>
  <c r="N76" i="20"/>
  <c r="J68" i="20"/>
  <c r="I68" i="20"/>
  <c r="F41" i="10"/>
  <c r="C41" i="10"/>
  <c r="O76" i="20" l="1"/>
  <c r="Y75" i="20"/>
  <c r="A69" i="20"/>
  <c r="N67" i="17"/>
  <c r="P64" i="17"/>
  <c r="J69" i="20"/>
  <c r="I69" i="20"/>
  <c r="AN76" i="20"/>
  <c r="AH77" i="20"/>
  <c r="N77" i="20"/>
  <c r="M77" i="20"/>
  <c r="AM76" i="20"/>
  <c r="AG77" i="20"/>
  <c r="W77" i="20"/>
  <c r="AD73" i="20"/>
  <c r="AC73" i="20"/>
  <c r="X77" i="20"/>
  <c r="C42" i="10"/>
  <c r="F42" i="10"/>
  <c r="O77" i="20" l="1"/>
  <c r="Y76" i="20"/>
  <c r="A70" i="20"/>
  <c r="N68" i="17"/>
  <c r="P65" i="17"/>
  <c r="W78" i="20"/>
  <c r="AC74" i="20"/>
  <c r="AD74" i="20"/>
  <c r="N78" i="20"/>
  <c r="AM77" i="20"/>
  <c r="AG78" i="20"/>
  <c r="M78" i="20"/>
  <c r="AN77" i="20"/>
  <c r="AH78" i="20"/>
  <c r="X78" i="20"/>
  <c r="I70" i="20"/>
  <c r="J70" i="20"/>
  <c r="F43" i="10"/>
  <c r="C43" i="10"/>
  <c r="Y77" i="20" l="1"/>
  <c r="O78" i="20"/>
  <c r="A71" i="20"/>
  <c r="N69" i="17"/>
  <c r="P66" i="17"/>
  <c r="N79" i="20"/>
  <c r="I71" i="20"/>
  <c r="J71" i="20"/>
  <c r="AN78" i="20"/>
  <c r="AH79" i="20"/>
  <c r="AM78" i="20"/>
  <c r="AG79" i="20"/>
  <c r="W79" i="20"/>
  <c r="X79" i="20"/>
  <c r="M79" i="20"/>
  <c r="AD75" i="20"/>
  <c r="AC75" i="20"/>
  <c r="C44" i="10"/>
  <c r="F44" i="10"/>
  <c r="Y78" i="20" l="1"/>
  <c r="O79" i="20"/>
  <c r="A72" i="20"/>
  <c r="N70" i="17"/>
  <c r="P67" i="17"/>
  <c r="AD76" i="20"/>
  <c r="AC76" i="20"/>
  <c r="X80" i="20"/>
  <c r="N80" i="20"/>
  <c r="M80" i="20"/>
  <c r="W80" i="20"/>
  <c r="AM79" i="20"/>
  <c r="AG80" i="20"/>
  <c r="AN79" i="20"/>
  <c r="AH80" i="20"/>
  <c r="I72" i="20"/>
  <c r="J72" i="20"/>
  <c r="F45" i="10"/>
  <c r="C45" i="10"/>
  <c r="O80" i="20" l="1"/>
  <c r="Y79" i="20"/>
  <c r="A73" i="20"/>
  <c r="N71" i="17"/>
  <c r="P68" i="17"/>
  <c r="W81" i="20"/>
  <c r="AN80" i="20"/>
  <c r="AH81" i="20"/>
  <c r="N81" i="20"/>
  <c r="J73" i="20"/>
  <c r="I73" i="20"/>
  <c r="AM80" i="20"/>
  <c r="AG81" i="20"/>
  <c r="M81" i="20"/>
  <c r="X81" i="20"/>
  <c r="AC77" i="20"/>
  <c r="AD77" i="20"/>
  <c r="C46" i="10"/>
  <c r="F46" i="10"/>
  <c r="O81" i="20" l="1"/>
  <c r="Y80" i="20"/>
  <c r="A74" i="20"/>
  <c r="N72" i="17"/>
  <c r="P69" i="17"/>
  <c r="X82" i="20"/>
  <c r="AD78" i="20"/>
  <c r="AC78" i="20"/>
  <c r="AM81" i="20"/>
  <c r="AG82" i="20"/>
  <c r="J74" i="20"/>
  <c r="I74" i="20"/>
  <c r="AN81" i="20"/>
  <c r="AH82" i="20"/>
  <c r="W82" i="20"/>
  <c r="M82" i="20"/>
  <c r="N82" i="20"/>
  <c r="O82" i="20" l="1"/>
  <c r="Y81" i="20"/>
  <c r="A75" i="20"/>
  <c r="N73" i="17"/>
  <c r="P70" i="17"/>
  <c r="AM82" i="20"/>
  <c r="AG83" i="20"/>
  <c r="X83" i="20"/>
  <c r="M83" i="20"/>
  <c r="W83" i="20"/>
  <c r="AN82" i="20"/>
  <c r="AH83" i="20"/>
  <c r="I75" i="20"/>
  <c r="J75" i="20"/>
  <c r="AC79" i="20"/>
  <c r="AD79" i="20"/>
  <c r="N83" i="20"/>
  <c r="C47" i="10"/>
  <c r="C8" i="10" s="1"/>
  <c r="F47" i="10"/>
  <c r="O83" i="20" l="1"/>
  <c r="Y82" i="20"/>
  <c r="A76" i="20"/>
  <c r="N74" i="17"/>
  <c r="P71" i="17"/>
  <c r="AC80" i="20"/>
  <c r="AD80" i="20"/>
  <c r="W84" i="20"/>
  <c r="AN83" i="20"/>
  <c r="AH84" i="20"/>
  <c r="M84" i="20"/>
  <c r="J76" i="20"/>
  <c r="I76" i="20"/>
  <c r="X84" i="20"/>
  <c r="N84" i="20"/>
  <c r="AM83" i="20"/>
  <c r="AG84" i="20"/>
  <c r="O84" i="20" l="1"/>
  <c r="Y83" i="20"/>
  <c r="A77" i="20"/>
  <c r="N75" i="17"/>
  <c r="P72" i="17"/>
  <c r="X85" i="20"/>
  <c r="J77" i="20"/>
  <c r="I77" i="20"/>
  <c r="AM84" i="20"/>
  <c r="AG85" i="20"/>
  <c r="AM85" i="20" s="1"/>
  <c r="N85" i="20"/>
  <c r="M85" i="20"/>
  <c r="AN84" i="20"/>
  <c r="AH85" i="20"/>
  <c r="AN85" i="20" s="1"/>
  <c r="W85" i="20"/>
  <c r="AD81" i="20"/>
  <c r="AC81" i="20"/>
  <c r="O85" i="20" l="1"/>
  <c r="Y85" i="20" s="1"/>
  <c r="Y84" i="20"/>
  <c r="A78" i="20"/>
  <c r="N76" i="17"/>
  <c r="P73" i="17"/>
  <c r="AD82" i="20"/>
  <c r="AC82" i="20"/>
  <c r="J78" i="20"/>
  <c r="I78" i="20"/>
  <c r="A79" i="20" l="1"/>
  <c r="N77" i="17"/>
  <c r="P74" i="17"/>
  <c r="AC83" i="20"/>
  <c r="AD83" i="20"/>
  <c r="I79" i="20"/>
  <c r="J79" i="20"/>
  <c r="P75" i="17" l="1"/>
  <c r="A80" i="20"/>
  <c r="N78" i="17"/>
  <c r="J80" i="20"/>
  <c r="I80" i="20"/>
  <c r="AD84" i="20"/>
  <c r="AC84" i="20"/>
  <c r="P76" i="17" l="1"/>
  <c r="P77" i="17" s="1"/>
  <c r="A81" i="20"/>
  <c r="N79" i="17"/>
  <c r="AD85" i="20"/>
  <c r="AC85" i="20"/>
  <c r="J81" i="20"/>
  <c r="I81" i="20"/>
  <c r="A82" i="20" l="1"/>
  <c r="N80" i="17"/>
  <c r="P78" i="17"/>
  <c r="I82" i="20"/>
  <c r="J82" i="20"/>
  <c r="A83" i="20" l="1"/>
  <c r="N81" i="17"/>
  <c r="P79" i="17"/>
  <c r="J83" i="20"/>
  <c r="I83" i="20"/>
  <c r="A84" i="20" l="1"/>
  <c r="N82" i="17"/>
  <c r="P80" i="17"/>
  <c r="J84" i="20"/>
  <c r="I84" i="20"/>
  <c r="A85" i="20" l="1"/>
  <c r="N84" i="17" s="1"/>
  <c r="N83" i="17"/>
  <c r="P81" i="17"/>
  <c r="J85" i="20"/>
  <c r="I85" i="20"/>
  <c r="P82" i="17" l="1"/>
  <c r="P83" i="17" l="1"/>
  <c r="P84" i="17" l="1"/>
  <c r="G3" i="6" l="1"/>
  <c r="J30" i="17"/>
  <c r="J35" i="17"/>
  <c r="J17" i="17"/>
  <c r="J21" i="17"/>
  <c r="J24" i="17"/>
  <c r="J32" i="17"/>
  <c r="J18" i="17"/>
  <c r="J46" i="17"/>
  <c r="J26" i="17"/>
  <c r="J34" i="17"/>
  <c r="J36" i="17"/>
  <c r="J29" i="17"/>
  <c r="J48" i="17"/>
  <c r="J14" i="17"/>
  <c r="J31" i="17"/>
  <c r="J38" i="17"/>
  <c r="J23" i="17"/>
  <c r="J40" i="17"/>
  <c r="J22" i="17"/>
  <c r="J16" i="17"/>
  <c r="J13" i="17"/>
  <c r="J20" i="17"/>
  <c r="J43" i="17"/>
  <c r="J45" i="17"/>
  <c r="J41" i="17"/>
  <c r="J12" i="17"/>
  <c r="Q38" i="7" s="1"/>
  <c r="J47" i="17"/>
  <c r="J25" i="17"/>
  <c r="J44" i="17"/>
  <c r="J37" i="17"/>
  <c r="J15" i="17"/>
  <c r="J49" i="17"/>
  <c r="J27" i="17"/>
  <c r="J42" i="17"/>
  <c r="J19" i="17"/>
  <c r="J11" i="17"/>
  <c r="Q37" i="7" s="1"/>
  <c r="J28" i="17"/>
  <c r="J39" i="17"/>
  <c r="J33" i="17"/>
  <c r="J50" i="17"/>
  <c r="Q76" i="7" s="1"/>
  <c r="P76" i="7" l="1"/>
  <c r="Z76" i="7" s="1"/>
  <c r="Q41" i="7"/>
  <c r="P41" i="7"/>
  <c r="P70" i="7"/>
  <c r="Q70" i="7"/>
  <c r="V70" i="7" s="1"/>
  <c r="P51" i="7"/>
  <c r="Q51" i="7"/>
  <c r="V51" i="7" s="1"/>
  <c r="P62" i="7"/>
  <c r="Q62" i="7"/>
  <c r="V62" i="7" s="1"/>
  <c r="P72" i="7"/>
  <c r="Q72" i="7"/>
  <c r="V72" i="7" s="1"/>
  <c r="P40" i="7"/>
  <c r="Q40" i="7"/>
  <c r="E17" i="40"/>
  <c r="V38" i="7"/>
  <c r="Q52" i="7"/>
  <c r="V52" i="7" s="1"/>
  <c r="P52" i="7"/>
  <c r="P59" i="7"/>
  <c r="Q59" i="7"/>
  <c r="V59" i="7" s="1"/>
  <c r="P44" i="7"/>
  <c r="Q44" i="7"/>
  <c r="P46" i="7"/>
  <c r="Q46" i="7"/>
  <c r="V46" i="7" s="1"/>
  <c r="P50" i="7"/>
  <c r="Q50" i="7"/>
  <c r="V50" i="7" s="1"/>
  <c r="Q47" i="7"/>
  <c r="V47" i="7" s="1"/>
  <c r="P47" i="7"/>
  <c r="Q61" i="7"/>
  <c r="V61" i="7" s="1"/>
  <c r="P61" i="7"/>
  <c r="Q63" i="7"/>
  <c r="V63" i="7" s="1"/>
  <c r="P63" i="7"/>
  <c r="P60" i="7"/>
  <c r="Q60" i="7"/>
  <c r="V60" i="7" s="1"/>
  <c r="P67" i="7"/>
  <c r="Q67" i="7"/>
  <c r="V67" i="7" s="1"/>
  <c r="Q69" i="7"/>
  <c r="V69" i="7" s="1"/>
  <c r="P69" i="7"/>
  <c r="P65" i="7"/>
  <c r="Q65" i="7"/>
  <c r="V65" i="7" s="1"/>
  <c r="P54" i="7"/>
  <c r="Q54" i="7"/>
  <c r="V54" i="7" s="1"/>
  <c r="Q39" i="7"/>
  <c r="P39" i="7"/>
  <c r="Q42" i="7"/>
  <c r="P42" i="7"/>
  <c r="P48" i="7"/>
  <c r="Q48" i="7"/>
  <c r="V48" i="7" s="1"/>
  <c r="P53" i="7"/>
  <c r="Q53" i="7"/>
  <c r="V53" i="7" s="1"/>
  <c r="Q49" i="7"/>
  <c r="V49" i="7" s="1"/>
  <c r="P49" i="7"/>
  <c r="Q56" i="7"/>
  <c r="V56" i="7" s="1"/>
  <c r="P56" i="7"/>
  <c r="Q57" i="7"/>
  <c r="V57" i="7" s="1"/>
  <c r="P57" i="7"/>
  <c r="P74" i="7"/>
  <c r="Q74" i="7"/>
  <c r="V74" i="7" s="1"/>
  <c r="P55" i="7"/>
  <c r="Q55" i="7"/>
  <c r="V55" i="7" s="1"/>
  <c r="Q73" i="7"/>
  <c r="V73" i="7" s="1"/>
  <c r="P73" i="7"/>
  <c r="Q71" i="7"/>
  <c r="V71" i="7" s="1"/>
  <c r="P71" i="7"/>
  <c r="Q58" i="7"/>
  <c r="V58" i="7" s="1"/>
  <c r="P58" i="7"/>
  <c r="E16" i="40"/>
  <c r="V37" i="7"/>
  <c r="P45" i="7"/>
  <c r="Q45" i="7"/>
  <c r="V45" i="7" s="1"/>
  <c r="P43" i="7"/>
  <c r="Q43" i="7"/>
  <c r="P68" i="7"/>
  <c r="Q68" i="7"/>
  <c r="V68" i="7" s="1"/>
  <c r="P66" i="7"/>
  <c r="Q66" i="7"/>
  <c r="V66" i="7" s="1"/>
  <c r="P75" i="7"/>
  <c r="Q75" i="7"/>
  <c r="V75" i="7" s="1"/>
  <c r="Q64" i="7"/>
  <c r="V64" i="7" s="1"/>
  <c r="P64" i="7"/>
  <c r="Q13" i="39"/>
  <c r="F19" i="39"/>
  <c r="H6" i="39"/>
  <c r="H11" i="39" s="1"/>
  <c r="B10" i="8" s="1"/>
  <c r="Q19" i="39"/>
  <c r="H27" i="6"/>
  <c r="H7" i="6"/>
  <c r="H17" i="6"/>
  <c r="V76" i="7"/>
  <c r="H32" i="6" l="1"/>
  <c r="H36" i="6"/>
  <c r="H35" i="6"/>
  <c r="H34" i="6"/>
  <c r="H33" i="6"/>
  <c r="H22" i="6"/>
  <c r="H23" i="6"/>
  <c r="M10" i="5" a="1"/>
  <c r="N10" i="5" s="1"/>
  <c r="U76" i="7"/>
  <c r="Q36" i="7"/>
  <c r="U58" i="7"/>
  <c r="Z58" i="7"/>
  <c r="U60" i="7"/>
  <c r="Z60" i="7"/>
  <c r="Z64" i="7"/>
  <c r="U64" i="7"/>
  <c r="U73" i="7"/>
  <c r="Z73" i="7"/>
  <c r="U61" i="7"/>
  <c r="Z61" i="7"/>
  <c r="D18" i="40"/>
  <c r="Z39" i="7"/>
  <c r="U39" i="7"/>
  <c r="U66" i="7"/>
  <c r="Z66" i="7"/>
  <c r="Z72" i="7"/>
  <c r="U72" i="7"/>
  <c r="U50" i="7"/>
  <c r="Z50" i="7"/>
  <c r="U56" i="7"/>
  <c r="Z56" i="7"/>
  <c r="E18" i="40"/>
  <c r="V39" i="7"/>
  <c r="U68" i="7"/>
  <c r="Z68" i="7"/>
  <c r="U74" i="7"/>
  <c r="Z74" i="7"/>
  <c r="Z62" i="7"/>
  <c r="U62" i="7"/>
  <c r="Z57" i="7"/>
  <c r="U57" i="7"/>
  <c r="D22" i="40"/>
  <c r="U43" i="7"/>
  <c r="Z43" i="7"/>
  <c r="U51" i="7"/>
  <c r="Z51" i="7"/>
  <c r="Z69" i="7"/>
  <c r="U69" i="7"/>
  <c r="Z45" i="7"/>
  <c r="U45" i="7"/>
  <c r="D23" i="40"/>
  <c r="U44" i="7"/>
  <c r="Z44" i="7"/>
  <c r="U70" i="7"/>
  <c r="Z70" i="7"/>
  <c r="U53" i="7"/>
  <c r="Z53" i="7"/>
  <c r="Z63" i="7"/>
  <c r="U63" i="7"/>
  <c r="U48" i="7"/>
  <c r="Z48" i="7"/>
  <c r="U46" i="7"/>
  <c r="Z46" i="7"/>
  <c r="E23" i="40"/>
  <c r="V44" i="7"/>
  <c r="U49" i="7"/>
  <c r="Z49" i="7"/>
  <c r="D20" i="40"/>
  <c r="Z41" i="7"/>
  <c r="U41" i="7"/>
  <c r="Z52" i="7"/>
  <c r="U52" i="7"/>
  <c r="U71" i="7"/>
  <c r="Z71" i="7"/>
  <c r="D21" i="40"/>
  <c r="U42" i="7"/>
  <c r="Z42" i="7"/>
  <c r="E19" i="40"/>
  <c r="V40" i="7"/>
  <c r="Z75" i="7"/>
  <c r="U75" i="7"/>
  <c r="E21" i="40"/>
  <c r="V42" i="7"/>
  <c r="D19" i="40"/>
  <c r="U40" i="7"/>
  <c r="Z40" i="7"/>
  <c r="U47" i="7"/>
  <c r="Z47" i="7"/>
  <c r="Z55" i="7"/>
  <c r="U55" i="7"/>
  <c r="Z54" i="7"/>
  <c r="U54" i="7"/>
  <c r="E22" i="40"/>
  <c r="V43" i="7"/>
  <c r="Z65" i="7"/>
  <c r="U65" i="7"/>
  <c r="H13" i="6"/>
  <c r="L22" i="7" s="1"/>
  <c r="H12" i="6"/>
  <c r="L21" i="7" s="1"/>
  <c r="Z67" i="7"/>
  <c r="U67" i="7"/>
  <c r="U59" i="7"/>
  <c r="Z59" i="7"/>
  <c r="E20" i="40"/>
  <c r="V41" i="7"/>
  <c r="Q49" i="15"/>
  <c r="Q50" i="14"/>
  <c r="P10" i="5" l="1"/>
  <c r="AK10" i="5"/>
  <c r="AC10" i="5"/>
  <c r="AS10" i="5"/>
  <c r="Q10" i="5"/>
  <c r="W10" i="5"/>
  <c r="AW10" i="5"/>
  <c r="X10" i="5"/>
  <c r="R10" i="5"/>
  <c r="AX10" i="5"/>
  <c r="AO10" i="5"/>
  <c r="S10" i="5"/>
  <c r="AQ10" i="5"/>
  <c r="AD10" i="5"/>
  <c r="AY10" i="5"/>
  <c r="AA10" i="5"/>
  <c r="AT10" i="5"/>
  <c r="AF10" i="5"/>
  <c r="O10" i="5"/>
  <c r="V10" i="5"/>
  <c r="AJ10" i="5"/>
  <c r="T10" i="5"/>
  <c r="AG10" i="5"/>
  <c r="AB10" i="5"/>
  <c r="AM10" i="5"/>
  <c r="AE10" i="5"/>
  <c r="AN10" i="5"/>
  <c r="AZ10" i="5"/>
  <c r="AH10" i="5"/>
  <c r="AR10" i="5"/>
  <c r="Y10" i="5"/>
  <c r="AU10" i="5"/>
  <c r="Z10" i="5"/>
  <c r="U10" i="5"/>
  <c r="AV10" i="5"/>
  <c r="AI10" i="5"/>
  <c r="M10" i="5"/>
  <c r="AL10" i="5"/>
  <c r="AP10" i="5"/>
  <c r="R21" i="7"/>
  <c r="S21" i="7" s="1"/>
  <c r="C38" i="7" s="1"/>
  <c r="V21" i="7"/>
  <c r="V36" i="7"/>
  <c r="Q26" i="14"/>
  <c r="Q25" i="15"/>
  <c r="Q39" i="15"/>
  <c r="Q40" i="14"/>
  <c r="Q36" i="14"/>
  <c r="Q35" i="15"/>
  <c r="Q14" i="15"/>
  <c r="Q15" i="14"/>
  <c r="Q48" i="14"/>
  <c r="Q47" i="15"/>
  <c r="Q22" i="15"/>
  <c r="Q23" i="14"/>
  <c r="Q42" i="14"/>
  <c r="Q41" i="15"/>
  <c r="R22" i="7"/>
  <c r="Q20" i="14"/>
  <c r="Q19" i="15"/>
  <c r="Q33" i="15"/>
  <c r="Q34" i="14"/>
  <c r="Q18" i="14"/>
  <c r="Q17" i="15"/>
  <c r="Q13" i="14"/>
  <c r="Q12" i="15"/>
  <c r="Q32" i="15"/>
  <c r="Q33" i="14"/>
  <c r="Q38" i="14"/>
  <c r="Q37" i="15"/>
  <c r="Q27" i="15"/>
  <c r="Q28" i="14"/>
  <c r="Q40" i="15"/>
  <c r="Q41" i="14"/>
  <c r="Q45" i="14"/>
  <c r="Q44" i="15"/>
  <c r="Q37" i="14"/>
  <c r="Q36" i="15"/>
  <c r="Q43" i="15"/>
  <c r="Q44" i="14"/>
  <c r="Q14" i="14"/>
  <c r="Q13" i="15"/>
  <c r="Q18" i="15"/>
  <c r="Q19" i="14"/>
  <c r="Q48" i="15"/>
  <c r="Q49" i="14"/>
  <c r="Q46" i="15"/>
  <c r="Q47" i="14"/>
  <c r="Q39" i="14"/>
  <c r="Q38" i="15"/>
  <c r="Q43" i="14"/>
  <c r="Q42" i="15"/>
  <c r="Q25" i="14"/>
  <c r="Q24" i="15"/>
  <c r="Q29" i="15"/>
  <c r="Q30" i="14"/>
  <c r="Q16" i="15"/>
  <c r="Q17" i="14"/>
  <c r="Q29" i="14"/>
  <c r="Q28" i="15"/>
  <c r="Q27" i="14"/>
  <c r="Q26" i="15"/>
  <c r="Q32" i="14"/>
  <c r="Q31" i="15"/>
  <c r="Q35" i="14"/>
  <c r="Q34" i="15"/>
  <c r="Q15" i="15"/>
  <c r="Q16" i="14"/>
  <c r="Q22" i="14"/>
  <c r="Q21" i="15"/>
  <c r="Q24" i="14"/>
  <c r="Q23" i="15"/>
  <c r="Q21" i="14"/>
  <c r="Q20" i="15"/>
  <c r="Q30" i="15"/>
  <c r="Q31" i="14"/>
  <c r="Q46" i="14"/>
  <c r="Q45" i="15"/>
  <c r="C37" i="7" l="1"/>
  <c r="C36" i="7" s="1"/>
  <c r="L9" i="5"/>
  <c r="V27" i="7"/>
  <c r="S22" i="7"/>
  <c r="D38" i="7" s="1"/>
  <c r="E38" i="7" s="1"/>
  <c r="P38" i="7" s="1"/>
  <c r="D37" i="7"/>
  <c r="G10" i="5"/>
  <c r="J10" i="5" s="1"/>
  <c r="E37" i="7" l="1"/>
  <c r="E36" i="7" s="1"/>
  <c r="Q9" i="14"/>
  <c r="R9" i="14" s="1"/>
  <c r="U9" i="14" s="1"/>
  <c r="Q9" i="15"/>
  <c r="R9" i="15" s="1"/>
  <c r="U9" i="15" s="1"/>
  <c r="D36" i="7"/>
  <c r="D17" i="40"/>
  <c r="U38" i="7"/>
  <c r="Z38" i="7"/>
  <c r="P37" i="7" l="1"/>
  <c r="M9" i="5" s="1" a="1"/>
  <c r="Q12" i="14"/>
  <c r="Q11" i="15"/>
  <c r="N9" i="5" l="1"/>
  <c r="AP9" i="5"/>
  <c r="AO9" i="5"/>
  <c r="W9" i="5"/>
  <c r="P9" i="5"/>
  <c r="AM9" i="5"/>
  <c r="AW9" i="5"/>
  <c r="AT9" i="5"/>
  <c r="Q9" i="5"/>
  <c r="AD9" i="5"/>
  <c r="AK9" i="5"/>
  <c r="AZ9" i="5"/>
  <c r="AU9" i="5"/>
  <c r="AJ9" i="5"/>
  <c r="AE9" i="5"/>
  <c r="T9" i="5"/>
  <c r="O9" i="5"/>
  <c r="AY9" i="5"/>
  <c r="AC9" i="5"/>
  <c r="AI9" i="5"/>
  <c r="AB9" i="5"/>
  <c r="S9" i="5"/>
  <c r="AQ9" i="5"/>
  <c r="AX9" i="5"/>
  <c r="AH9" i="5"/>
  <c r="R9" i="5"/>
  <c r="M9" i="5"/>
  <c r="U9" i="5"/>
  <c r="Z9" i="5"/>
  <c r="AG9" i="5"/>
  <c r="AF9" i="5"/>
  <c r="V9" i="5"/>
  <c r="AV9" i="5"/>
  <c r="Y9" i="5"/>
  <c r="X9" i="5"/>
  <c r="AS9" i="5"/>
  <c r="AL9" i="5"/>
  <c r="AA9" i="5"/>
  <c r="AR9" i="5"/>
  <c r="AN9" i="5"/>
  <c r="U37" i="7"/>
  <c r="U36" i="7" s="1"/>
  <c r="Z37" i="7"/>
  <c r="Q11" i="14" s="1"/>
  <c r="Q6" i="14" s="1"/>
  <c r="D16" i="40"/>
  <c r="L16" i="40" s="1"/>
  <c r="R16" i="40" s="1"/>
  <c r="P36" i="7"/>
  <c r="Z36" i="7" l="1"/>
  <c r="V16" i="40"/>
  <c r="V15" i="40" s="1"/>
  <c r="Q10" i="15"/>
  <c r="Q6" i="15" s="1"/>
  <c r="M16" i="40"/>
  <c r="W16" i="40" s="1"/>
  <c r="AB16" i="40" s="1"/>
  <c r="G9" i="5"/>
  <c r="J9" i="5" s="1"/>
  <c r="AA16" i="40" l="1"/>
  <c r="S16" i="40"/>
  <c r="L23" i="40" l="1"/>
  <c r="M23" i="40" s="1"/>
  <c r="W23" i="40" s="1"/>
  <c r="K9" i="22" l="1"/>
  <c r="L9" i="22" s="1"/>
  <c r="Q9" i="22" l="1"/>
  <c r="AP2" i="22" l="1" a="1"/>
  <c r="BW2" i="22" l="1"/>
  <c r="CB2" i="22"/>
  <c r="BX2" i="22"/>
  <c r="CA2" i="22"/>
  <c r="BZ2" i="22"/>
  <c r="BY2" i="22"/>
  <c r="CC2" i="22"/>
  <c r="AP2" i="22"/>
  <c r="BV2" i="22"/>
  <c r="AP4" i="22" a="1"/>
  <c r="AP4" i="22"/>
  <c r="AD42" i="22" l="1"/>
  <c r="AD31" i="22"/>
  <c r="AD26" i="22" l="1"/>
  <c r="AD41" i="22"/>
  <c r="AD35" i="22"/>
  <c r="AD20" i="22"/>
  <c r="AD22" i="22"/>
  <c r="AD18" i="22"/>
  <c r="AD25" i="22"/>
  <c r="AD21" i="22"/>
  <c r="AD48" i="22"/>
  <c r="AD45" i="22"/>
  <c r="AD23" i="22"/>
  <c r="AD19" i="22"/>
  <c r="AD39" i="22"/>
  <c r="AD30" i="22"/>
  <c r="AD37" i="22"/>
  <c r="AD32" i="22"/>
  <c r="AD33" i="22"/>
  <c r="AD28" i="22"/>
  <c r="AD46" i="22"/>
  <c r="AD29" i="22"/>
  <c r="AD47" i="22"/>
  <c r="AD38" i="22"/>
  <c r="AD24" i="22"/>
  <c r="AD40" i="22"/>
  <c r="AD27" i="22"/>
  <c r="AD34" i="22"/>
  <c r="AD44" i="22"/>
  <c r="AD49" i="22"/>
  <c r="AD36" i="22"/>
  <c r="AD43" i="22"/>
  <c r="AD16" i="22"/>
  <c r="AD17" i="22" l="1"/>
  <c r="AD10" i="22" l="1"/>
  <c r="C27" i="8" l="1"/>
  <c r="B28" i="8"/>
  <c r="L2" i="12" l="1"/>
  <c r="C28" i="8"/>
  <c r="D28" i="8" s="1"/>
  <c r="E28" i="8" l="1"/>
  <c r="F28" i="8" s="1"/>
  <c r="G28" i="8" l="1"/>
  <c r="B54" i="8" l="1"/>
  <c r="D54" i="8" s="1"/>
  <c r="C54" i="8" l="1"/>
  <c r="B20" i="8" l="1"/>
  <c r="B43" i="8" s="1"/>
  <c r="D43" i="8" s="1"/>
  <c r="C43" i="8" l="1"/>
  <c r="B17" i="8" l="1"/>
  <c r="C42" i="8" s="1"/>
  <c r="B21" i="8"/>
  <c r="D44" i="8" s="1"/>
  <c r="AD11" i="22"/>
  <c r="AD12" i="22"/>
  <c r="AD13" i="22"/>
  <c r="AD14" i="22"/>
  <c r="AD15" i="22"/>
  <c r="B44" i="8" l="1"/>
  <c r="D41" i="8"/>
  <c r="B41" i="8"/>
  <c r="AD7" i="22"/>
  <c r="B42" i="8"/>
  <c r="D42" i="8"/>
  <c r="C44" i="8"/>
  <c r="C41" i="8"/>
  <c r="H75" i="2" l="1" a="1"/>
  <c r="N72" i="2" l="1"/>
  <c r="N73" i="2" s="1"/>
  <c r="Q72" i="2" l="1"/>
  <c r="Q73" i="2" s="1"/>
  <c r="C11" i="7" l="1"/>
  <c r="D29" i="7" s="1"/>
  <c r="I29" i="7" s="1"/>
  <c r="M29" i="7" l="1"/>
  <c r="Q29" i="7"/>
  <c r="C26" i="7"/>
  <c r="D26" i="7" s="1"/>
  <c r="I26" i="7" s="1"/>
  <c r="F28" i="7"/>
  <c r="L28" i="7" s="1"/>
  <c r="E25" i="7"/>
  <c r="K25" i="7" s="1"/>
  <c r="C29" i="7"/>
  <c r="C28" i="7"/>
  <c r="E27" i="7"/>
  <c r="K27" i="7" s="1"/>
  <c r="E29" i="7"/>
  <c r="K29" i="7" s="1"/>
  <c r="E26" i="7"/>
  <c r="K26" i="7" s="1"/>
  <c r="B16" i="8"/>
  <c r="B19" i="8" s="1"/>
  <c r="F29" i="7"/>
  <c r="L29" i="7" s="1"/>
  <c r="AB19" i="7"/>
  <c r="W35" i="7" s="1"/>
  <c r="X14" i="40" s="1"/>
  <c r="E28" i="7"/>
  <c r="K28" i="7" s="1"/>
  <c r="C25" i="7"/>
  <c r="D25" i="7" s="1"/>
  <c r="C27" i="7"/>
  <c r="D27" i="7" s="1"/>
  <c r="I27" i="7" s="1"/>
  <c r="D28" i="7"/>
  <c r="I28" i="7" s="1"/>
  <c r="I25" i="7" l="1"/>
  <c r="M25" i="7" s="1"/>
  <c r="F25" i="7"/>
  <c r="L25" i="7" s="1"/>
  <c r="I11" i="5"/>
  <c r="M26" i="7"/>
  <c r="M27" i="7"/>
  <c r="R29" i="7"/>
  <c r="S29" i="7" s="1"/>
  <c r="B18" i="8"/>
  <c r="C29" i="8" s="1"/>
  <c r="M28" i="7"/>
  <c r="Q28" i="7"/>
  <c r="R28" i="7" s="1"/>
  <c r="S28" i="7" s="1"/>
  <c r="F26" i="7"/>
  <c r="L26" i="7" s="1"/>
  <c r="F27" i="7"/>
  <c r="L27" i="7" s="1"/>
  <c r="B22" i="8" l="1"/>
  <c r="B23" i="8" s="1"/>
  <c r="J65" i="8" s="1"/>
  <c r="J25" i="7"/>
  <c r="Q25" i="7" s="1"/>
  <c r="R25" i="7" s="1"/>
  <c r="D29" i="8"/>
  <c r="E29" i="8" s="1"/>
  <c r="B50" i="8" s="1"/>
  <c r="B45" i="8"/>
  <c r="B46" i="8"/>
  <c r="B69" i="8" l="1"/>
  <c r="D76" i="8" s="1"/>
  <c r="L4" i="12"/>
  <c r="L3" i="12"/>
  <c r="C69" i="8"/>
  <c r="G76" i="8" s="1"/>
  <c r="J64" i="8"/>
  <c r="B76" i="8" s="1"/>
  <c r="N76" i="8" s="1"/>
  <c r="F29" i="8"/>
  <c r="B52" i="8" s="1"/>
  <c r="B47" i="8"/>
  <c r="D47" i="8" s="1"/>
  <c r="B48" i="8"/>
  <c r="D48" i="8" s="1"/>
  <c r="H26" i="7"/>
  <c r="D33" i="6" s="1"/>
  <c r="P25" i="7"/>
  <c r="I46" i="7" s="1"/>
  <c r="I39" i="7"/>
  <c r="F18" i="40" s="1"/>
  <c r="S25" i="7"/>
  <c r="B49" i="8"/>
  <c r="C49" i="8" s="1"/>
  <c r="D45" i="8"/>
  <c r="C45" i="8"/>
  <c r="D46" i="8"/>
  <c r="C46" i="8"/>
  <c r="D50" i="8"/>
  <c r="C50" i="8"/>
  <c r="I38" i="7" l="1"/>
  <c r="F17" i="40" s="1"/>
  <c r="L6" i="12"/>
  <c r="B5" i="12" s="1"/>
  <c r="I76" i="8"/>
  <c r="I78" i="8" s="1"/>
  <c r="I58" i="7"/>
  <c r="I59" i="7"/>
  <c r="I40" i="7"/>
  <c r="F19" i="40" s="1"/>
  <c r="C48" i="8"/>
  <c r="I55" i="7"/>
  <c r="I73" i="7"/>
  <c r="C47" i="8"/>
  <c r="G29" i="8"/>
  <c r="B53" i="8" s="1"/>
  <c r="D53" i="8" s="1"/>
  <c r="B51" i="8"/>
  <c r="C51" i="8" s="1"/>
  <c r="I49" i="7"/>
  <c r="I69" i="7"/>
  <c r="I53" i="7"/>
  <c r="I63" i="7"/>
  <c r="I54" i="7"/>
  <c r="I52" i="7"/>
  <c r="I37" i="7"/>
  <c r="F16" i="40" s="1"/>
  <c r="I42" i="7"/>
  <c r="F21" i="40" s="1"/>
  <c r="I45" i="7"/>
  <c r="J26" i="7"/>
  <c r="P26" i="7" s="1"/>
  <c r="I51" i="7"/>
  <c r="I47" i="7"/>
  <c r="I75" i="7"/>
  <c r="I62" i="7"/>
  <c r="I76" i="7"/>
  <c r="I74" i="7"/>
  <c r="I70" i="7"/>
  <c r="I44" i="7"/>
  <c r="F23" i="40" s="1"/>
  <c r="I61" i="7"/>
  <c r="I50" i="7"/>
  <c r="I41" i="7"/>
  <c r="F20" i="40" s="1"/>
  <c r="I60" i="7"/>
  <c r="I65" i="7"/>
  <c r="I48" i="7"/>
  <c r="I72" i="7"/>
  <c r="I66" i="7"/>
  <c r="I64" i="7"/>
  <c r="I68" i="7"/>
  <c r="I57" i="7"/>
  <c r="I71" i="7"/>
  <c r="I67" i="7"/>
  <c r="I56" i="7"/>
  <c r="I43" i="7"/>
  <c r="F22" i="40" s="1"/>
  <c r="O26" i="7"/>
  <c r="D49" i="8"/>
  <c r="P76" i="8"/>
  <c r="O76" i="8"/>
  <c r="C52" i="8"/>
  <c r="D52" i="8"/>
  <c r="D51" i="8" l="1"/>
  <c r="D55" i="8" s="1"/>
  <c r="C53" i="8"/>
  <c r="C55" i="8" s="1"/>
  <c r="Q26" i="7"/>
  <c r="R26" i="7" s="1"/>
  <c r="S26" i="7" s="1"/>
  <c r="H27" i="7"/>
  <c r="O27" i="7" s="1"/>
  <c r="J64" i="7"/>
  <c r="I36" i="7"/>
  <c r="J67" i="7"/>
  <c r="J55" i="7"/>
  <c r="J54" i="7"/>
  <c r="J58" i="7"/>
  <c r="J70" i="7"/>
  <c r="J57" i="7"/>
  <c r="J50" i="7"/>
  <c r="J37" i="7"/>
  <c r="J69" i="7"/>
  <c r="J53" i="7"/>
  <c r="J62" i="7"/>
  <c r="J43" i="7"/>
  <c r="J73" i="7"/>
  <c r="J56" i="7"/>
  <c r="J52" i="7"/>
  <c r="J60" i="7"/>
  <c r="J72" i="7"/>
  <c r="J68" i="7"/>
  <c r="J74" i="7"/>
  <c r="J75" i="7"/>
  <c r="J48" i="7"/>
  <c r="J63" i="7"/>
  <c r="J51" i="7"/>
  <c r="J65" i="7"/>
  <c r="J59" i="7"/>
  <c r="J49" i="7"/>
  <c r="J71" i="7"/>
  <c r="J38" i="7"/>
  <c r="G17" i="40" s="1"/>
  <c r="J61" i="7"/>
  <c r="J42" i="7"/>
  <c r="G21" i="40" s="1"/>
  <c r="J47" i="7"/>
  <c r="J45" i="7"/>
  <c r="J41" i="7"/>
  <c r="G20" i="40" s="1"/>
  <c r="J44" i="7"/>
  <c r="J76" i="7"/>
  <c r="J66" i="7"/>
  <c r="J46" i="7"/>
  <c r="J39" i="7" l="1"/>
  <c r="G18" i="40" s="1"/>
  <c r="D34" i="6"/>
  <c r="J27" i="7"/>
  <c r="P27" i="7" s="1"/>
  <c r="K58" i="7" s="1"/>
  <c r="J40" i="7"/>
  <c r="G19" i="40" s="1"/>
  <c r="G23" i="40"/>
  <c r="G22" i="40"/>
  <c r="G16" i="40"/>
  <c r="Q27" i="7" l="1"/>
  <c r="R27" i="7" s="1"/>
  <c r="S27" i="7" s="1"/>
  <c r="H28" i="7"/>
  <c r="O28" i="7" s="1"/>
  <c r="J36" i="7"/>
  <c r="K66" i="7"/>
  <c r="K37" i="7"/>
  <c r="H16" i="40" s="1"/>
  <c r="K48" i="7"/>
  <c r="K51" i="7"/>
  <c r="K49" i="7"/>
  <c r="K71" i="7"/>
  <c r="K65" i="7"/>
  <c r="K47" i="7"/>
  <c r="K74" i="7"/>
  <c r="K55" i="7"/>
  <c r="K72" i="7"/>
  <c r="K62" i="7"/>
  <c r="K61" i="7"/>
  <c r="K75" i="7"/>
  <c r="K60" i="7"/>
  <c r="K64" i="7"/>
  <c r="K44" i="7"/>
  <c r="H23" i="40" s="1"/>
  <c r="K70" i="7"/>
  <c r="K52" i="7"/>
  <c r="K63" i="7"/>
  <c r="K54" i="7"/>
  <c r="K76" i="7"/>
  <c r="K67" i="7"/>
  <c r="K43" i="7"/>
  <c r="H22" i="40" s="1"/>
  <c r="K45" i="7"/>
  <c r="K59" i="7"/>
  <c r="K41" i="7"/>
  <c r="H20" i="40" s="1"/>
  <c r="K73" i="7"/>
  <c r="K69" i="7"/>
  <c r="K53" i="7"/>
  <c r="K57" i="7"/>
  <c r="K46" i="7"/>
  <c r="K42" i="7"/>
  <c r="H21" i="40" s="1"/>
  <c r="K68" i="7"/>
  <c r="K38" i="7"/>
  <c r="K50" i="7"/>
  <c r="K56" i="7"/>
  <c r="K39" i="7" l="1"/>
  <c r="H18" i="40" s="1"/>
  <c r="K40" i="7"/>
  <c r="H19" i="40" s="1"/>
  <c r="D35" i="6"/>
  <c r="J28" i="7"/>
  <c r="H29" i="7" s="1"/>
  <c r="H17" i="40"/>
  <c r="K36" i="7" l="1"/>
  <c r="P28" i="7"/>
  <c r="L70" i="7" s="1"/>
  <c r="J29" i="7"/>
  <c r="O29" i="7"/>
  <c r="D36" i="6"/>
  <c r="L40" i="7" l="1"/>
  <c r="I19" i="40" s="1"/>
  <c r="L67" i="7"/>
  <c r="L37" i="7"/>
  <c r="I16" i="40" s="1"/>
  <c r="L59" i="7"/>
  <c r="L53" i="7"/>
  <c r="L50" i="7"/>
  <c r="L45" i="7"/>
  <c r="L54" i="7"/>
  <c r="L39" i="7"/>
  <c r="I18" i="40" s="1"/>
  <c r="L56" i="7"/>
  <c r="L69" i="7"/>
  <c r="L49" i="7"/>
  <c r="L62" i="7"/>
  <c r="L71" i="7"/>
  <c r="L43" i="7"/>
  <c r="I22" i="40" s="1"/>
  <c r="L65" i="7"/>
  <c r="L52" i="7"/>
  <c r="L76" i="7"/>
  <c r="L38" i="7"/>
  <c r="I17" i="40" s="1"/>
  <c r="L75" i="7"/>
  <c r="L41" i="7"/>
  <c r="I20" i="40" s="1"/>
  <c r="L66" i="7"/>
  <c r="L46" i="7"/>
  <c r="L44" i="7"/>
  <c r="I23" i="40" s="1"/>
  <c r="L60" i="7"/>
  <c r="L61" i="7"/>
  <c r="L58" i="7"/>
  <c r="L55" i="7"/>
  <c r="L47" i="7"/>
  <c r="L74" i="7"/>
  <c r="L73" i="7"/>
  <c r="L57" i="7"/>
  <c r="L68" i="7"/>
  <c r="L42" i="7"/>
  <c r="I21" i="40" s="1"/>
  <c r="L63" i="7"/>
  <c r="L64" i="7"/>
  <c r="L51" i="7"/>
  <c r="L48" i="7"/>
  <c r="L72" i="7"/>
  <c r="B5" i="8"/>
  <c r="P29" i="7"/>
  <c r="M44" i="7" s="1"/>
  <c r="J23" i="40" s="1"/>
  <c r="E11" i="39"/>
  <c r="E17" i="39" s="1"/>
  <c r="C29" i="39" s="1"/>
  <c r="C30" i="39" s="1"/>
  <c r="C31" i="39" s="1"/>
  <c r="C32" i="39" s="1"/>
  <c r="C33" i="39" s="1"/>
  <c r="C34" i="39" s="1"/>
  <c r="C35" i="39" s="1"/>
  <c r="C36" i="39" s="1"/>
  <c r="C37" i="39" s="1"/>
  <c r="C38" i="39" s="1"/>
  <c r="C39" i="39" s="1"/>
  <c r="C40" i="39" s="1"/>
  <c r="C41" i="39" s="1"/>
  <c r="C42" i="39" s="1"/>
  <c r="C43" i="39" s="1"/>
  <c r="C44" i="39" s="1"/>
  <c r="C45" i="39" s="1"/>
  <c r="C46" i="39" s="1"/>
  <c r="C47" i="39" s="1"/>
  <c r="C48" i="39" s="1"/>
  <c r="C49" i="39" s="1"/>
  <c r="C50" i="39" s="1"/>
  <c r="C51" i="39" s="1"/>
  <c r="C52" i="39" s="1"/>
  <c r="C53" i="39" s="1"/>
  <c r="C54" i="39" s="1"/>
  <c r="C55" i="39" s="1"/>
  <c r="C56" i="39" s="1"/>
  <c r="C57" i="39" s="1"/>
  <c r="C58" i="39" s="1"/>
  <c r="C59" i="39" s="1"/>
  <c r="C60" i="39" s="1"/>
  <c r="C61" i="39" s="1"/>
  <c r="C62" i="39" s="1"/>
  <c r="C63" i="39" s="1"/>
  <c r="C64" i="39" s="1"/>
  <c r="C65" i="39" s="1"/>
  <c r="C66" i="39" s="1"/>
  <c r="C67" i="39" s="1"/>
  <c r="C68" i="39" s="1"/>
  <c r="V23" i="7"/>
  <c r="L36" i="7" l="1"/>
  <c r="N23" i="40"/>
  <c r="O23" i="40" s="1"/>
  <c r="M38" i="7"/>
  <c r="N38" i="7" s="1"/>
  <c r="R38" i="7" s="1"/>
  <c r="M47" i="7"/>
  <c r="N47" i="7" s="1"/>
  <c r="R47" i="7" s="1"/>
  <c r="S47" i="7" s="1"/>
  <c r="M59" i="7"/>
  <c r="N59" i="7" s="1"/>
  <c r="R59" i="7" s="1"/>
  <c r="S59" i="7" s="1"/>
  <c r="M65" i="7"/>
  <c r="N65" i="7" s="1"/>
  <c r="R65" i="7" s="1"/>
  <c r="M71" i="7"/>
  <c r="N71" i="7" s="1"/>
  <c r="R71" i="7" s="1"/>
  <c r="M57" i="7"/>
  <c r="N57" i="7" s="1"/>
  <c r="R57" i="7" s="1"/>
  <c r="M43" i="7"/>
  <c r="M49" i="7"/>
  <c r="N49" i="7" s="1"/>
  <c r="R49" i="7" s="1"/>
  <c r="M52" i="7"/>
  <c r="N52" i="7" s="1"/>
  <c r="R52" i="7" s="1"/>
  <c r="M55" i="7"/>
  <c r="N55" i="7" s="1"/>
  <c r="R55" i="7" s="1"/>
  <c r="M69" i="7"/>
  <c r="N69" i="7" s="1"/>
  <c r="R69" i="7" s="1"/>
  <c r="M50" i="7"/>
  <c r="N50" i="7" s="1"/>
  <c r="R50" i="7" s="1"/>
  <c r="M70" i="7"/>
  <c r="N70" i="7" s="1"/>
  <c r="R70" i="7" s="1"/>
  <c r="M51" i="7"/>
  <c r="N51" i="7" s="1"/>
  <c r="R51" i="7" s="1"/>
  <c r="M61" i="7"/>
  <c r="N61" i="7" s="1"/>
  <c r="R61" i="7" s="1"/>
  <c r="M73" i="7"/>
  <c r="N73" i="7" s="1"/>
  <c r="R73" i="7" s="1"/>
  <c r="M63" i="7"/>
  <c r="N63" i="7" s="1"/>
  <c r="R63" i="7" s="1"/>
  <c r="M58" i="7"/>
  <c r="N58" i="7" s="1"/>
  <c r="R58" i="7" s="1"/>
  <c r="M74" i="7"/>
  <c r="N74" i="7" s="1"/>
  <c r="R74" i="7" s="1"/>
  <c r="M66" i="7"/>
  <c r="N66" i="7" s="1"/>
  <c r="R66" i="7" s="1"/>
  <c r="M68" i="7"/>
  <c r="N68" i="7" s="1"/>
  <c r="R68" i="7" s="1"/>
  <c r="M54" i="7"/>
  <c r="N54" i="7" s="1"/>
  <c r="R54" i="7" s="1"/>
  <c r="M48" i="7"/>
  <c r="N48" i="7" s="1"/>
  <c r="R48" i="7" s="1"/>
  <c r="M40" i="7"/>
  <c r="M41" i="7"/>
  <c r="M53" i="7"/>
  <c r="N53" i="7" s="1"/>
  <c r="R53" i="7" s="1"/>
  <c r="M45" i="7"/>
  <c r="N45" i="7" s="1"/>
  <c r="R45" i="7" s="1"/>
  <c r="M56" i="7"/>
  <c r="N56" i="7" s="1"/>
  <c r="R56" i="7" s="1"/>
  <c r="M42" i="7"/>
  <c r="M37" i="7"/>
  <c r="N44" i="7"/>
  <c r="R44" i="7" s="1"/>
  <c r="K23" i="40"/>
  <c r="M46" i="7"/>
  <c r="N46" i="7" s="1"/>
  <c r="R46" i="7" s="1"/>
  <c r="M64" i="7"/>
  <c r="N64" i="7" s="1"/>
  <c r="R64" i="7" s="1"/>
  <c r="M75" i="7"/>
  <c r="N75" i="7" s="1"/>
  <c r="R75" i="7" s="1"/>
  <c r="L11" i="5"/>
  <c r="V28" i="7"/>
  <c r="M39" i="7"/>
  <c r="M60" i="7"/>
  <c r="N60" i="7" s="1"/>
  <c r="R60" i="7" s="1"/>
  <c r="M76" i="7"/>
  <c r="N76" i="7" s="1"/>
  <c r="R76" i="7" s="1"/>
  <c r="D10" i="8"/>
  <c r="B6" i="8"/>
  <c r="F13" i="5"/>
  <c r="V24" i="7"/>
  <c r="V29" i="7" s="1"/>
  <c r="M72" i="7"/>
  <c r="N72" i="7" s="1"/>
  <c r="R72" i="7" s="1"/>
  <c r="M67" i="7"/>
  <c r="N67" i="7" s="1"/>
  <c r="R67" i="7" s="1"/>
  <c r="M62" i="7"/>
  <c r="N62" i="7" s="1"/>
  <c r="R62" i="7" s="1"/>
  <c r="X23" i="40" l="1"/>
  <c r="Y23" i="40" s="1"/>
  <c r="G17" i="22" s="1"/>
  <c r="J17" i="40"/>
  <c r="K17" i="40" s="1"/>
  <c r="V25" i="7"/>
  <c r="T9" i="16" s="1"/>
  <c r="W59" i="7"/>
  <c r="X59" i="7" s="1"/>
  <c r="F32" i="22" s="1"/>
  <c r="W47" i="7"/>
  <c r="X47" i="7" s="1"/>
  <c r="F20" i="22" s="1"/>
  <c r="J21" i="40"/>
  <c r="K21" i="40" s="1"/>
  <c r="N42" i="7"/>
  <c r="R42" i="7" s="1"/>
  <c r="S76" i="7"/>
  <c r="W76" i="7"/>
  <c r="X76" i="7" s="1"/>
  <c r="F49" i="22" s="1"/>
  <c r="W61" i="7"/>
  <c r="X61" i="7" s="1"/>
  <c r="F34" i="22" s="1"/>
  <c r="S61" i="7"/>
  <c r="S75" i="7"/>
  <c r="W75" i="7"/>
  <c r="X75" i="7" s="1"/>
  <c r="F48" i="22" s="1"/>
  <c r="W52" i="7"/>
  <c r="X52" i="7" s="1"/>
  <c r="F25" i="22" s="1"/>
  <c r="S52" i="7"/>
  <c r="S74" i="7"/>
  <c r="W74" i="7"/>
  <c r="X74" i="7" s="1"/>
  <c r="F47" i="22" s="1"/>
  <c r="J22" i="40"/>
  <c r="K22" i="40" s="1"/>
  <c r="N43" i="7"/>
  <c r="R43" i="7" s="1"/>
  <c r="W60" i="7"/>
  <c r="X60" i="7" s="1"/>
  <c r="F33" i="22" s="1"/>
  <c r="S60" i="7"/>
  <c r="S56" i="7"/>
  <c r="W56" i="7"/>
  <c r="X56" i="7" s="1"/>
  <c r="F29" i="22" s="1"/>
  <c r="W51" i="7"/>
  <c r="X51" i="7" s="1"/>
  <c r="F24" i="22" s="1"/>
  <c r="S51" i="7"/>
  <c r="W45" i="7"/>
  <c r="X45" i="7" s="1"/>
  <c r="F18" i="22" s="1"/>
  <c r="S45" i="7"/>
  <c r="W38" i="7"/>
  <c r="X38" i="7" s="1"/>
  <c r="F11" i="22" s="1"/>
  <c r="S38" i="7"/>
  <c r="S69" i="7"/>
  <c r="W69" i="7"/>
  <c r="X69" i="7" s="1"/>
  <c r="F42" i="22" s="1"/>
  <c r="S66" i="7"/>
  <c r="W66" i="7"/>
  <c r="X66" i="7" s="1"/>
  <c r="F39" i="22" s="1"/>
  <c r="S58" i="7"/>
  <c r="W58" i="7"/>
  <c r="X58" i="7" s="1"/>
  <c r="F31" i="22" s="1"/>
  <c r="S57" i="7"/>
  <c r="W57" i="7"/>
  <c r="X57" i="7" s="1"/>
  <c r="F30" i="22" s="1"/>
  <c r="O9" i="14"/>
  <c r="O9" i="15"/>
  <c r="J19" i="40"/>
  <c r="K19" i="40" s="1"/>
  <c r="N40" i="7"/>
  <c r="R40" i="7" s="1"/>
  <c r="D9" i="15"/>
  <c r="D9" i="14"/>
  <c r="W44" i="7"/>
  <c r="X44" i="7" s="1"/>
  <c r="F17" i="22" s="1"/>
  <c r="S44" i="7"/>
  <c r="S63" i="7"/>
  <c r="W63" i="7"/>
  <c r="X63" i="7" s="1"/>
  <c r="F36" i="22" s="1"/>
  <c r="S71" i="7"/>
  <c r="W71" i="7"/>
  <c r="X71" i="7" s="1"/>
  <c r="F44" i="22" s="1"/>
  <c r="W53" i="7"/>
  <c r="X53" i="7" s="1"/>
  <c r="F26" i="22" s="1"/>
  <c r="S53" i="7"/>
  <c r="J20" i="40"/>
  <c r="K20" i="40" s="1"/>
  <c r="N41" i="7"/>
  <c r="R41" i="7" s="1"/>
  <c r="W55" i="7"/>
  <c r="X55" i="7" s="1"/>
  <c r="F28" i="22" s="1"/>
  <c r="S55" i="7"/>
  <c r="W46" i="7"/>
  <c r="X46" i="7" s="1"/>
  <c r="F19" i="22" s="1"/>
  <c r="S46" i="7"/>
  <c r="W65" i="7"/>
  <c r="X65" i="7" s="1"/>
  <c r="F38" i="22" s="1"/>
  <c r="S65" i="7"/>
  <c r="S70" i="7"/>
  <c r="W70" i="7"/>
  <c r="X70" i="7" s="1"/>
  <c r="F43" i="22" s="1"/>
  <c r="S64" i="7"/>
  <c r="W64" i="7"/>
  <c r="X64" i="7" s="1"/>
  <c r="F37" i="22" s="1"/>
  <c r="W49" i="7"/>
  <c r="X49" i="7" s="1"/>
  <c r="F22" i="22" s="1"/>
  <c r="S49" i="7"/>
  <c r="W72" i="7"/>
  <c r="X72" i="7" s="1"/>
  <c r="F45" i="22" s="1"/>
  <c r="S72" i="7"/>
  <c r="L13" i="5"/>
  <c r="L21" i="5" s="1"/>
  <c r="L22" i="5" s="1"/>
  <c r="L23" i="5" s="1"/>
  <c r="N4" i="2"/>
  <c r="E10" i="8"/>
  <c r="F10" i="8" s="1"/>
  <c r="G10" i="8" s="1"/>
  <c r="B7" i="8"/>
  <c r="F32" i="16"/>
  <c r="AB59" i="7"/>
  <c r="AB47" i="7"/>
  <c r="F20" i="16"/>
  <c r="G17" i="16"/>
  <c r="P23" i="40"/>
  <c r="J18" i="40"/>
  <c r="K18" i="40" s="1"/>
  <c r="N39" i="7"/>
  <c r="R39" i="7" s="1"/>
  <c r="S50" i="7"/>
  <c r="W50" i="7"/>
  <c r="X50" i="7" s="1"/>
  <c r="F23" i="22" s="1"/>
  <c r="W48" i="7"/>
  <c r="X48" i="7" s="1"/>
  <c r="F21" i="22" s="1"/>
  <c r="S48" i="7"/>
  <c r="W54" i="7"/>
  <c r="X54" i="7" s="1"/>
  <c r="F27" i="22" s="1"/>
  <c r="S54" i="7"/>
  <c r="S68" i="7"/>
  <c r="W68" i="7"/>
  <c r="X68" i="7" s="1"/>
  <c r="F41" i="22" s="1"/>
  <c r="S62" i="7"/>
  <c r="W62" i="7"/>
  <c r="X62" i="7" s="1"/>
  <c r="F35" i="22" s="1"/>
  <c r="S67" i="7"/>
  <c r="W67" i="7"/>
  <c r="X67" i="7" s="1"/>
  <c r="F40" i="22" s="1"/>
  <c r="J16" i="40"/>
  <c r="M36" i="7"/>
  <c r="N37" i="7"/>
  <c r="S73" i="7"/>
  <c r="W73" i="7"/>
  <c r="X73" i="7" s="1"/>
  <c r="F46" i="22" s="1"/>
  <c r="B93" i="8" l="1"/>
  <c r="AM93" i="8" s="1"/>
  <c r="AY93" i="8" s="1"/>
  <c r="BS93" i="8" s="1"/>
  <c r="B101" i="8"/>
  <c r="AM101" i="8" s="1"/>
  <c r="AY101" i="8" s="1"/>
  <c r="BS101" i="8" s="1"/>
  <c r="B127" i="8"/>
  <c r="AM127" i="8" s="1"/>
  <c r="AY127" i="8" s="1"/>
  <c r="BS127" i="8" s="1"/>
  <c r="B98" i="8"/>
  <c r="AM98" i="8" s="1"/>
  <c r="AY98" i="8" s="1"/>
  <c r="BS98" i="8" s="1"/>
  <c r="B129" i="8"/>
  <c r="AM129" i="8" s="1"/>
  <c r="AY129" i="8" s="1"/>
  <c r="BS129" i="8" s="1"/>
  <c r="B103" i="8"/>
  <c r="AM103" i="8" s="1"/>
  <c r="AY103" i="8" s="1"/>
  <c r="BS103" i="8" s="1"/>
  <c r="B95" i="8"/>
  <c r="AM95" i="8" s="1"/>
  <c r="AY95" i="8" s="1"/>
  <c r="BS95" i="8" s="1"/>
  <c r="B116" i="8"/>
  <c r="AM116" i="8" s="1"/>
  <c r="AY116" i="8" s="1"/>
  <c r="BS116" i="8" s="1"/>
  <c r="B123" i="8"/>
  <c r="AM123" i="8" s="1"/>
  <c r="AY123" i="8" s="1"/>
  <c r="BS123" i="8" s="1"/>
  <c r="B99" i="8"/>
  <c r="AM99" i="8" s="1"/>
  <c r="AY99" i="8" s="1"/>
  <c r="BS99" i="8" s="1"/>
  <c r="B109" i="8"/>
  <c r="AM109" i="8" s="1"/>
  <c r="AY109" i="8" s="1"/>
  <c r="BS109" i="8" s="1"/>
  <c r="B105" i="8"/>
  <c r="AM105" i="8" s="1"/>
  <c r="AY105" i="8" s="1"/>
  <c r="BS105" i="8" s="1"/>
  <c r="B92" i="8"/>
  <c r="AM92" i="8" s="1"/>
  <c r="B97" i="8"/>
  <c r="AM97" i="8" s="1"/>
  <c r="AY97" i="8" s="1"/>
  <c r="BS97" i="8" s="1"/>
  <c r="B110" i="8"/>
  <c r="AM110" i="8" s="1"/>
  <c r="AY110" i="8" s="1"/>
  <c r="BS110" i="8" s="1"/>
  <c r="B117" i="8"/>
  <c r="AM117" i="8" s="1"/>
  <c r="AY117" i="8" s="1"/>
  <c r="BS117" i="8" s="1"/>
  <c r="B104" i="8"/>
  <c r="AM104" i="8" s="1"/>
  <c r="AY104" i="8" s="1"/>
  <c r="BS104" i="8" s="1"/>
  <c r="B128" i="8"/>
  <c r="AM128" i="8" s="1"/>
  <c r="AY128" i="8" s="1"/>
  <c r="BS128" i="8" s="1"/>
  <c r="B130" i="8"/>
  <c r="AM130" i="8" s="1"/>
  <c r="AY130" i="8" s="1"/>
  <c r="BS130" i="8" s="1"/>
  <c r="B112" i="8"/>
  <c r="AM112" i="8" s="1"/>
  <c r="AY112" i="8" s="1"/>
  <c r="BS112" i="8" s="1"/>
  <c r="B96" i="8"/>
  <c r="AM96" i="8" s="1"/>
  <c r="AY96" i="8" s="1"/>
  <c r="BS96" i="8" s="1"/>
  <c r="B125" i="8"/>
  <c r="AM125" i="8" s="1"/>
  <c r="AY125" i="8" s="1"/>
  <c r="BS125" i="8" s="1"/>
  <c r="B124" i="8"/>
  <c r="AM124" i="8" s="1"/>
  <c r="AY124" i="8" s="1"/>
  <c r="BS124" i="8" s="1"/>
  <c r="B126" i="8"/>
  <c r="AM126" i="8" s="1"/>
  <c r="AY126" i="8" s="1"/>
  <c r="BS126" i="8" s="1"/>
  <c r="B100" i="8"/>
  <c r="AM100" i="8" s="1"/>
  <c r="AY100" i="8" s="1"/>
  <c r="BS100" i="8" s="1"/>
  <c r="B119" i="8"/>
  <c r="AM119" i="8" s="1"/>
  <c r="AY119" i="8" s="1"/>
  <c r="BS119" i="8" s="1"/>
  <c r="B121" i="8"/>
  <c r="AM121" i="8" s="1"/>
  <c r="AY121" i="8" s="1"/>
  <c r="BS121" i="8" s="1"/>
  <c r="B94" i="8"/>
  <c r="AM94" i="8" s="1"/>
  <c r="AY94" i="8" s="1"/>
  <c r="BS94" i="8" s="1"/>
  <c r="B118" i="8"/>
  <c r="AM118" i="8" s="1"/>
  <c r="AY118" i="8" s="1"/>
  <c r="BS118" i="8" s="1"/>
  <c r="B115" i="8"/>
  <c r="AM115" i="8" s="1"/>
  <c r="AY115" i="8" s="1"/>
  <c r="BS115" i="8" s="1"/>
  <c r="B102" i="8"/>
  <c r="AM102" i="8" s="1"/>
  <c r="AY102" i="8" s="1"/>
  <c r="BS102" i="8" s="1"/>
  <c r="B107" i="8"/>
  <c r="AM107" i="8" s="1"/>
  <c r="AY107" i="8" s="1"/>
  <c r="BS107" i="8" s="1"/>
  <c r="B106" i="8"/>
  <c r="AM106" i="8" s="1"/>
  <c r="AY106" i="8" s="1"/>
  <c r="BS106" i="8" s="1"/>
  <c r="B108" i="8"/>
  <c r="AM108" i="8" s="1"/>
  <c r="AY108" i="8" s="1"/>
  <c r="BS108" i="8" s="1"/>
  <c r="B122" i="8"/>
  <c r="AM122" i="8" s="1"/>
  <c r="AY122" i="8" s="1"/>
  <c r="BS122" i="8" s="1"/>
  <c r="B111" i="8"/>
  <c r="AM111" i="8" s="1"/>
  <c r="AY111" i="8" s="1"/>
  <c r="BS111" i="8" s="1"/>
  <c r="B131" i="8"/>
  <c r="AM131" i="8" s="1"/>
  <c r="AY131" i="8" s="1"/>
  <c r="BS131" i="8" s="1"/>
  <c r="B114" i="8"/>
  <c r="AM114" i="8" s="1"/>
  <c r="AY114" i="8" s="1"/>
  <c r="BS114" i="8" s="1"/>
  <c r="B113" i="8"/>
  <c r="AM113" i="8" s="1"/>
  <c r="AY113" i="8" s="1"/>
  <c r="BS113" i="8" s="1"/>
  <c r="B120" i="8"/>
  <c r="AM120" i="8" s="1"/>
  <c r="AY120" i="8" s="1"/>
  <c r="BS120" i="8" s="1"/>
  <c r="AB54" i="7"/>
  <c r="F27" i="16"/>
  <c r="AB57" i="7"/>
  <c r="F30" i="16"/>
  <c r="F21" i="16"/>
  <c r="AB48" i="7"/>
  <c r="AB50" i="7"/>
  <c r="F23" i="16"/>
  <c r="F11" i="16"/>
  <c r="AB38" i="7"/>
  <c r="F38" i="16"/>
  <c r="AB65" i="7"/>
  <c r="AB45" i="7"/>
  <c r="F18" i="16"/>
  <c r="F34" i="16"/>
  <c r="AB61" i="7"/>
  <c r="AB53" i="7"/>
  <c r="F26" i="16"/>
  <c r="F22" i="16"/>
  <c r="AB49" i="7"/>
  <c r="F44" i="16"/>
  <c r="AB71" i="7"/>
  <c r="AB64" i="7"/>
  <c r="F37" i="16"/>
  <c r="AB67" i="7"/>
  <c r="F40" i="16"/>
  <c r="N16" i="40"/>
  <c r="K16" i="40"/>
  <c r="F31" i="16"/>
  <c r="AB58" i="7"/>
  <c r="AB63" i="7"/>
  <c r="F36" i="16"/>
  <c r="AB75" i="7"/>
  <c r="F48" i="16"/>
  <c r="AB46" i="7"/>
  <c r="F19" i="16"/>
  <c r="W40" i="7"/>
  <c r="X40" i="7" s="1"/>
  <c r="F13" i="22" s="1"/>
  <c r="S40" i="7"/>
  <c r="AB51" i="7"/>
  <c r="F24" i="16"/>
  <c r="S41" i="7"/>
  <c r="W41" i="7"/>
  <c r="X41" i="7" s="1"/>
  <c r="F14" i="22" s="1"/>
  <c r="AB72" i="7"/>
  <c r="F45" i="16"/>
  <c r="AB66" i="7"/>
  <c r="F39" i="16"/>
  <c r="AB69" i="7"/>
  <c r="F42" i="16"/>
  <c r="AB62" i="7"/>
  <c r="F35" i="16"/>
  <c r="F49" i="16"/>
  <c r="AB76" i="7"/>
  <c r="W43" i="7"/>
  <c r="X43" i="7" s="1"/>
  <c r="F16" i="22" s="1"/>
  <c r="S43" i="7"/>
  <c r="S39" i="7"/>
  <c r="W39" i="7"/>
  <c r="X39" i="7" s="1"/>
  <c r="F12" i="22" s="1"/>
  <c r="AB44" i="7"/>
  <c r="F17" i="16"/>
  <c r="AB70" i="7"/>
  <c r="F43" i="16"/>
  <c r="AB73" i="7"/>
  <c r="F46" i="16"/>
  <c r="B8" i="8"/>
  <c r="D6" i="8"/>
  <c r="C6" i="8"/>
  <c r="AB55" i="7"/>
  <c r="F28" i="16"/>
  <c r="W42" i="7"/>
  <c r="X42" i="7" s="1"/>
  <c r="F15" i="22" s="1"/>
  <c r="S42" i="7"/>
  <c r="AB60" i="7"/>
  <c r="F33" i="16"/>
  <c r="AB74" i="7"/>
  <c r="F47" i="16"/>
  <c r="F25" i="16"/>
  <c r="AB52" i="7"/>
  <c r="R37" i="7"/>
  <c r="N36" i="7"/>
  <c r="F41" i="16"/>
  <c r="AB68" i="7"/>
  <c r="AB56" i="7"/>
  <c r="F29" i="16"/>
  <c r="B91" i="8" l="1"/>
  <c r="F15" i="16"/>
  <c r="AB42" i="7"/>
  <c r="AB40" i="7"/>
  <c r="F13" i="16"/>
  <c r="O16" i="40"/>
  <c r="X16" i="40"/>
  <c r="T16" i="40"/>
  <c r="U16" i="40" s="1"/>
  <c r="AB43" i="7"/>
  <c r="F16" i="16"/>
  <c r="J13" i="13"/>
  <c r="J12" i="13"/>
  <c r="B3" i="12"/>
  <c r="J14" i="13"/>
  <c r="AB39" i="7"/>
  <c r="F12" i="16"/>
  <c r="F14" i="16"/>
  <c r="AB41" i="7"/>
  <c r="M11" i="5" a="1"/>
  <c r="S37" i="7"/>
  <c r="R36" i="7"/>
  <c r="W37" i="7"/>
  <c r="AB93" i="8"/>
  <c r="E74" i="8"/>
  <c r="AB94" i="8"/>
  <c r="AB92" i="8"/>
  <c r="T23" i="9"/>
  <c r="AB96" i="8"/>
  <c r="AB97" i="8" s="1"/>
  <c r="AB98" i="8" s="1"/>
  <c r="AB99" i="8" s="1"/>
  <c r="AB95" i="8"/>
  <c r="F74" i="8"/>
  <c r="AY92" i="8"/>
  <c r="AM91" i="8"/>
  <c r="AK93" i="8" l="1"/>
  <c r="AI93" i="8"/>
  <c r="AE93" i="8"/>
  <c r="AC93" i="8"/>
  <c r="AJ93" i="8"/>
  <c r="AD93" i="8"/>
  <c r="AG93" i="8"/>
  <c r="AF93" i="8"/>
  <c r="AH93" i="8"/>
  <c r="Y16" i="40"/>
  <c r="G10" i="22" s="1"/>
  <c r="AC16" i="40"/>
  <c r="AD16" i="40" s="1"/>
  <c r="S31" i="9"/>
  <c r="S35" i="9"/>
  <c r="S32" i="9"/>
  <c r="S34" i="9"/>
  <c r="S33" i="9"/>
  <c r="X37" i="7"/>
  <c r="W36" i="7"/>
  <c r="P16" i="40"/>
  <c r="C17" i="40" s="1"/>
  <c r="G10" i="16"/>
  <c r="H77" i="8"/>
  <c r="F77" i="8" s="1"/>
  <c r="E77" i="8" s="1"/>
  <c r="E44" i="8"/>
  <c r="H76" i="8"/>
  <c r="F76" i="8" s="1"/>
  <c r="E76" i="8" s="1"/>
  <c r="H74" i="8"/>
  <c r="F75" i="8" s="1"/>
  <c r="AJ94" i="8"/>
  <c r="AI94" i="8"/>
  <c r="AG94" i="8"/>
  <c r="AK94" i="8"/>
  <c r="AD94" i="8"/>
  <c r="AH94" i="8"/>
  <c r="AC94" i="8"/>
  <c r="AF94" i="8"/>
  <c r="AE94" i="8"/>
  <c r="AC95" i="8"/>
  <c r="AJ95" i="8"/>
  <c r="AD95" i="8"/>
  <c r="AH95" i="8"/>
  <c r="AG95" i="8"/>
  <c r="AF95" i="8"/>
  <c r="AK95" i="8"/>
  <c r="AE95" i="8"/>
  <c r="AI95" i="8"/>
  <c r="M74" i="8"/>
  <c r="R74" i="8"/>
  <c r="K74" i="8"/>
  <c r="L74" i="8" s="1"/>
  <c r="BS92" i="8"/>
  <c r="BS91" i="8" s="1"/>
  <c r="M13" i="5" a="1"/>
  <c r="AY91" i="8"/>
  <c r="F10" i="16"/>
  <c r="AB37" i="7"/>
  <c r="AB36" i="7" s="1"/>
  <c r="S36" i="7"/>
  <c r="AP11" i="5"/>
  <c r="AG11" i="5"/>
  <c r="AB11" i="5"/>
  <c r="T11" i="5"/>
  <c r="AF11" i="5"/>
  <c r="V11" i="5"/>
  <c r="O11" i="5"/>
  <c r="AI11" i="5"/>
  <c r="AK11" i="5"/>
  <c r="AJ11" i="5"/>
  <c r="AO11" i="5"/>
  <c r="AX11" i="5"/>
  <c r="AQ11" i="5"/>
  <c r="AA11" i="5"/>
  <c r="R11" i="5"/>
  <c r="U11" i="5"/>
  <c r="AR11" i="5"/>
  <c r="AZ11" i="5"/>
  <c r="X11" i="5"/>
  <c r="M11" i="5"/>
  <c r="AS11" i="5"/>
  <c r="N11" i="5"/>
  <c r="Q11" i="5"/>
  <c r="AL11" i="5"/>
  <c r="AY11" i="5"/>
  <c r="AT11" i="5"/>
  <c r="AC11" i="5"/>
  <c r="Z11" i="5"/>
  <c r="AH11" i="5"/>
  <c r="AE11" i="5"/>
  <c r="P11" i="5"/>
  <c r="AW11" i="5"/>
  <c r="AU11" i="5"/>
  <c r="AD11" i="5"/>
  <c r="Y11" i="5"/>
  <c r="S11" i="5"/>
  <c r="AM11" i="5"/>
  <c r="W11" i="5"/>
  <c r="AV11" i="5"/>
  <c r="AN11" i="5"/>
  <c r="AC92" i="8"/>
  <c r="AK92" i="8"/>
  <c r="AI92" i="8"/>
  <c r="AF92" i="8"/>
  <c r="AJ92" i="8"/>
  <c r="AG92" i="8"/>
  <c r="AE92" i="8"/>
  <c r="AB86" i="8"/>
  <c r="AH92" i="8"/>
  <c r="AD92" i="8"/>
  <c r="AB100" i="8"/>
  <c r="V74" i="8" l="1"/>
  <c r="T32" i="9"/>
  <c r="I20" i="11"/>
  <c r="U32" i="9"/>
  <c r="V32" i="9"/>
  <c r="K76" i="8"/>
  <c r="L76" i="8" s="1"/>
  <c r="R76" i="8"/>
  <c r="M76" i="8"/>
  <c r="S74" i="8"/>
  <c r="L17" i="40"/>
  <c r="F8" i="16"/>
  <c r="F7" i="16"/>
  <c r="U13" i="5"/>
  <c r="AW13" i="5"/>
  <c r="X13" i="5"/>
  <c r="AY13" i="5"/>
  <c r="AN13" i="5"/>
  <c r="P13" i="5"/>
  <c r="Y13" i="5"/>
  <c r="M13" i="5"/>
  <c r="AA13" i="5"/>
  <c r="S13" i="5"/>
  <c r="AI13" i="5"/>
  <c r="N13" i="5"/>
  <c r="O13" i="5"/>
  <c r="AB13" i="5"/>
  <c r="AC13" i="5"/>
  <c r="Q13" i="5"/>
  <c r="AR13" i="5"/>
  <c r="Z13" i="5"/>
  <c r="AP13" i="5"/>
  <c r="AZ13" i="5"/>
  <c r="AM13" i="5"/>
  <c r="AH13" i="5"/>
  <c r="AV13" i="5"/>
  <c r="R13" i="5"/>
  <c r="AO13" i="5"/>
  <c r="AX13" i="5"/>
  <c r="AQ13" i="5"/>
  <c r="W13" i="5"/>
  <c r="AL13" i="5"/>
  <c r="AD13" i="5"/>
  <c r="AU13" i="5"/>
  <c r="AS13" i="5"/>
  <c r="V13" i="5"/>
  <c r="AK13" i="5"/>
  <c r="AE13" i="5"/>
  <c r="AJ13" i="5"/>
  <c r="T13" i="5"/>
  <c r="AT13" i="5"/>
  <c r="AF13" i="5"/>
  <c r="AG13" i="5"/>
  <c r="E75" i="8"/>
  <c r="H75" i="8"/>
  <c r="E41" i="8" s="1"/>
  <c r="V31" i="9"/>
  <c r="U31" i="9"/>
  <c r="T31" i="9"/>
  <c r="I19" i="11"/>
  <c r="R77" i="8"/>
  <c r="M77" i="8"/>
  <c r="K77" i="8"/>
  <c r="L77" i="8" s="1"/>
  <c r="F10" i="22"/>
  <c r="F7" i="22" s="1"/>
  <c r="X36" i="7"/>
  <c r="AB101" i="8"/>
  <c r="S36" i="9"/>
  <c r="I23" i="11"/>
  <c r="G11" i="5"/>
  <c r="J11" i="5" s="1"/>
  <c r="H44" i="8"/>
  <c r="F44" i="8"/>
  <c r="G44" i="8" s="1"/>
  <c r="I21" i="11"/>
  <c r="T33" i="9"/>
  <c r="V33" i="9"/>
  <c r="U33" i="9"/>
  <c r="AC87" i="8"/>
  <c r="AD96" i="8" s="1"/>
  <c r="T21" i="9"/>
  <c r="T22" i="9" s="1"/>
  <c r="I22" i="11"/>
  <c r="T34" i="9"/>
  <c r="V34" i="9"/>
  <c r="U34" i="9"/>
  <c r="V76" i="8" l="1"/>
  <c r="T35" i="9"/>
  <c r="AJ98" i="8"/>
  <c r="V35" i="9"/>
  <c r="AH96" i="8"/>
  <c r="AI96" i="8"/>
  <c r="AG98" i="8"/>
  <c r="O44" i="8"/>
  <c r="AD100" i="8"/>
  <c r="AJ100" i="8"/>
  <c r="AH100" i="8"/>
  <c r="AK100" i="8"/>
  <c r="AG100" i="8"/>
  <c r="M17" i="40"/>
  <c r="W17" i="40" s="1"/>
  <c r="G13" i="5"/>
  <c r="J13" i="5" s="1"/>
  <c r="S37" i="9"/>
  <c r="I24" i="11"/>
  <c r="T36" i="9"/>
  <c r="V36" i="9"/>
  <c r="U36" i="9"/>
  <c r="I44" i="8"/>
  <c r="AF100" i="8"/>
  <c r="AK97" i="8"/>
  <c r="AI100" i="8"/>
  <c r="H41" i="8"/>
  <c r="F41" i="8"/>
  <c r="AC96" i="8"/>
  <c r="AE100" i="8"/>
  <c r="M75" i="8"/>
  <c r="R75" i="8"/>
  <c r="K75" i="8"/>
  <c r="L75" i="8" s="1"/>
  <c r="F14" i="5"/>
  <c r="Q4" i="2" s="1"/>
  <c r="S76" i="8"/>
  <c r="AC97" i="8"/>
  <c r="AE96" i="8"/>
  <c r="AI99" i="8"/>
  <c r="AD99" i="8"/>
  <c r="AG97" i="8"/>
  <c r="AH97" i="8"/>
  <c r="AD98" i="8"/>
  <c r="AE97" i="8"/>
  <c r="AF96" i="8"/>
  <c r="AJ97" i="8"/>
  <c r="AE98" i="8"/>
  <c r="AJ96" i="8"/>
  <c r="AC99" i="8"/>
  <c r="AD97" i="8"/>
  <c r="AH99" i="8"/>
  <c r="AH98" i="8"/>
  <c r="AF99" i="8"/>
  <c r="AE99" i="8"/>
  <c r="AF98" i="8"/>
  <c r="AI98" i="8"/>
  <c r="AJ99" i="8"/>
  <c r="AC98" i="8"/>
  <c r="AF97" i="8"/>
  <c r="AK98" i="8"/>
  <c r="AI97" i="8"/>
  <c r="AG99" i="8"/>
  <c r="AC100" i="8"/>
  <c r="AG96" i="8"/>
  <c r="AK96" i="8"/>
  <c r="T74" i="8"/>
  <c r="W74" i="8"/>
  <c r="AK101" i="8"/>
  <c r="AD101" i="8"/>
  <c r="AH101" i="8"/>
  <c r="AI101" i="8"/>
  <c r="AE101" i="8"/>
  <c r="AB102" i="8"/>
  <c r="AF101" i="8"/>
  <c r="AC101" i="8"/>
  <c r="AJ101" i="8"/>
  <c r="AG101" i="8"/>
  <c r="S77" i="8"/>
  <c r="U35" i="9"/>
  <c r="AK99" i="8"/>
  <c r="O41" i="8" l="1"/>
  <c r="V75" i="8"/>
  <c r="N17" i="40"/>
  <c r="G41" i="8"/>
  <c r="E42" i="8"/>
  <c r="I25" i="11"/>
  <c r="T37" i="9"/>
  <c r="V37" i="9"/>
  <c r="U37" i="9"/>
  <c r="S38" i="9"/>
  <c r="AK102" i="8"/>
  <c r="AG102" i="8"/>
  <c r="AJ102" i="8"/>
  <c r="AE102" i="8"/>
  <c r="AH102" i="8"/>
  <c r="AD102" i="8"/>
  <c r="AB103" i="8"/>
  <c r="AF102" i="8"/>
  <c r="AC102" i="8"/>
  <c r="AI102" i="8"/>
  <c r="I41" i="8"/>
  <c r="T77" i="8"/>
  <c r="T76" i="8"/>
  <c r="W76" i="8"/>
  <c r="S75" i="8"/>
  <c r="J44" i="8"/>
  <c r="P44" i="8"/>
  <c r="U74" i="8"/>
  <c r="R128" i="8" s="1"/>
  <c r="X74" i="8"/>
  <c r="R97" i="8" l="1"/>
  <c r="AO97" i="8" s="1"/>
  <c r="R96" i="8"/>
  <c r="AO96" i="8" s="1"/>
  <c r="R104" i="8"/>
  <c r="AO104" i="8" s="1"/>
  <c r="R111" i="8"/>
  <c r="AO111" i="8" s="1"/>
  <c r="R124" i="8"/>
  <c r="AO124" i="8" s="1"/>
  <c r="R110" i="8"/>
  <c r="AO110" i="8" s="1"/>
  <c r="R122" i="8"/>
  <c r="AO122" i="8" s="1"/>
  <c r="R93" i="8"/>
  <c r="AO93" i="8" s="1"/>
  <c r="R114" i="8"/>
  <c r="AO114" i="8" s="1"/>
  <c r="X17" i="40"/>
  <c r="Y17" i="40" s="1"/>
  <c r="G11" i="22" s="1"/>
  <c r="O17" i="40"/>
  <c r="K44" i="8"/>
  <c r="Q44" i="8"/>
  <c r="U76" i="8"/>
  <c r="T127" i="8" s="1"/>
  <c r="AQ127" i="8" s="1"/>
  <c r="X76" i="8"/>
  <c r="J41" i="8"/>
  <c r="P41" i="8"/>
  <c r="R109" i="8"/>
  <c r="Y74" i="8"/>
  <c r="R99" i="8" s="1"/>
  <c r="R102" i="8"/>
  <c r="R117" i="8"/>
  <c r="R123" i="8"/>
  <c r="R107" i="8"/>
  <c r="R108" i="8"/>
  <c r="R103" i="8"/>
  <c r="R120" i="8"/>
  <c r="R119" i="8"/>
  <c r="R126" i="8"/>
  <c r="R118" i="8"/>
  <c r="R130" i="8"/>
  <c r="R116" i="8"/>
  <c r="R121" i="8"/>
  <c r="R131" i="8"/>
  <c r="R129" i="8"/>
  <c r="R125" i="8"/>
  <c r="R115" i="8"/>
  <c r="R113" i="8"/>
  <c r="R105" i="8"/>
  <c r="R94" i="8"/>
  <c r="I26" i="11"/>
  <c r="U38" i="9"/>
  <c r="T38" i="9"/>
  <c r="V38" i="9"/>
  <c r="S39" i="9"/>
  <c r="R106" i="8"/>
  <c r="H42" i="8"/>
  <c r="F42" i="8"/>
  <c r="AI103" i="8"/>
  <c r="AD103" i="8"/>
  <c r="AG103" i="8"/>
  <c r="AH103" i="8"/>
  <c r="AJ103" i="8"/>
  <c r="AB104" i="8"/>
  <c r="AE103" i="8"/>
  <c r="AK103" i="8"/>
  <c r="AF103" i="8"/>
  <c r="AC103" i="8"/>
  <c r="AO128" i="8"/>
  <c r="R127" i="8"/>
  <c r="R112" i="8"/>
  <c r="R92" i="8"/>
  <c r="T75" i="8"/>
  <c r="W75" i="8"/>
  <c r="R95" i="8"/>
  <c r="U77" i="8"/>
  <c r="U124" i="8" s="1"/>
  <c r="AR124" i="8" s="1"/>
  <c r="X77" i="8"/>
  <c r="R100" i="8" l="1"/>
  <c r="AO100" i="8" s="1"/>
  <c r="R101" i="8"/>
  <c r="AO101" i="8" s="1"/>
  <c r="O42" i="8"/>
  <c r="U92" i="8"/>
  <c r="AR92" i="8" s="1"/>
  <c r="T121" i="8"/>
  <c r="AQ121" i="8" s="1"/>
  <c r="T103" i="8"/>
  <c r="AQ103" i="8" s="1"/>
  <c r="U121" i="8"/>
  <c r="AR121" i="8" s="1"/>
  <c r="T129" i="8"/>
  <c r="AQ129" i="8" s="1"/>
  <c r="U126" i="8"/>
  <c r="AR126" i="8" s="1"/>
  <c r="U97" i="8"/>
  <c r="AR97" i="8" s="1"/>
  <c r="T97" i="8"/>
  <c r="AQ97" i="8" s="1"/>
  <c r="T118" i="8"/>
  <c r="AQ118" i="8" s="1"/>
  <c r="T123" i="8"/>
  <c r="AQ123" i="8" s="1"/>
  <c r="U96" i="8"/>
  <c r="AR96" i="8" s="1"/>
  <c r="U128" i="8"/>
  <c r="AR128" i="8" s="1"/>
  <c r="T93" i="8"/>
  <c r="AQ93" i="8" s="1"/>
  <c r="G11" i="16"/>
  <c r="P17" i="40"/>
  <c r="C18" i="40" s="1"/>
  <c r="L18" i="40" s="1"/>
  <c r="M18" i="40" s="1"/>
  <c r="W18" i="40" s="1"/>
  <c r="AO99" i="8"/>
  <c r="U75" i="8"/>
  <c r="S108" i="8" s="1"/>
  <c r="X75" i="8"/>
  <c r="AO131" i="8"/>
  <c r="E43" i="8"/>
  <c r="B57" i="8"/>
  <c r="G42" i="8"/>
  <c r="T112" i="8"/>
  <c r="AQ112" i="8" s="1"/>
  <c r="Y76" i="8"/>
  <c r="Z76" i="8" s="1"/>
  <c r="T107" i="8"/>
  <c r="AQ107" i="8" s="1"/>
  <c r="T108" i="8"/>
  <c r="AQ108" i="8" s="1"/>
  <c r="T104" i="8"/>
  <c r="AQ104" i="8" s="1"/>
  <c r="T126" i="8"/>
  <c r="AQ126" i="8" s="1"/>
  <c r="T92" i="8"/>
  <c r="T128" i="8"/>
  <c r="AQ128" i="8" s="1"/>
  <c r="T122" i="8"/>
  <c r="AQ122" i="8" s="1"/>
  <c r="T130" i="8"/>
  <c r="AQ130" i="8" s="1"/>
  <c r="T119" i="8"/>
  <c r="AQ119" i="8" s="1"/>
  <c r="T109" i="8"/>
  <c r="AQ109" i="8" s="1"/>
  <c r="T120" i="8"/>
  <c r="AQ120" i="8" s="1"/>
  <c r="T114" i="8"/>
  <c r="AQ114" i="8" s="1"/>
  <c r="T105" i="8"/>
  <c r="AQ105" i="8" s="1"/>
  <c r="T131" i="8"/>
  <c r="AQ131" i="8" s="1"/>
  <c r="U39" i="9"/>
  <c r="T39" i="9"/>
  <c r="I27" i="11"/>
  <c r="V39" i="9"/>
  <c r="S40" i="9"/>
  <c r="AG104" i="8"/>
  <c r="AF104" i="8"/>
  <c r="AJ104" i="8"/>
  <c r="AD104" i="8"/>
  <c r="AK104" i="8"/>
  <c r="AH104" i="8"/>
  <c r="AB105" i="8"/>
  <c r="AI104" i="8"/>
  <c r="AC104" i="8"/>
  <c r="AE104" i="8"/>
  <c r="AO126" i="8"/>
  <c r="T117" i="8"/>
  <c r="AQ117" i="8" s="1"/>
  <c r="AO129" i="8"/>
  <c r="AO112" i="8"/>
  <c r="T113" i="8"/>
  <c r="AQ113" i="8" s="1"/>
  <c r="T96" i="8"/>
  <c r="AQ96" i="8" s="1"/>
  <c r="Y77" i="8"/>
  <c r="U131" i="8"/>
  <c r="AR131" i="8" s="1"/>
  <c r="U118" i="8"/>
  <c r="AR118" i="8" s="1"/>
  <c r="U110" i="8"/>
  <c r="AR110" i="8" s="1"/>
  <c r="U125" i="8"/>
  <c r="AR125" i="8" s="1"/>
  <c r="U116" i="8"/>
  <c r="AR116" i="8" s="1"/>
  <c r="U119" i="8"/>
  <c r="AR119" i="8" s="1"/>
  <c r="U94" i="8"/>
  <c r="AR94" i="8" s="1"/>
  <c r="U114" i="8"/>
  <c r="AR114" i="8" s="1"/>
  <c r="U113" i="8"/>
  <c r="AR113" i="8" s="1"/>
  <c r="U122" i="8"/>
  <c r="AR122" i="8" s="1"/>
  <c r="U130" i="8"/>
  <c r="AR130" i="8" s="1"/>
  <c r="U117" i="8"/>
  <c r="AR117" i="8" s="1"/>
  <c r="U112" i="8"/>
  <c r="AR112" i="8" s="1"/>
  <c r="U107" i="8"/>
  <c r="AR107" i="8" s="1"/>
  <c r="U106" i="8"/>
  <c r="AR106" i="8" s="1"/>
  <c r="U115" i="8"/>
  <c r="AR115" i="8" s="1"/>
  <c r="U105" i="8"/>
  <c r="AR105" i="8" s="1"/>
  <c r="U93" i="8"/>
  <c r="AR93" i="8" s="1"/>
  <c r="U95" i="8"/>
  <c r="AR95" i="8" s="1"/>
  <c r="U127" i="8"/>
  <c r="AR127" i="8" s="1"/>
  <c r="U129" i="8"/>
  <c r="AR129" i="8" s="1"/>
  <c r="U111" i="8"/>
  <c r="AR111" i="8" s="1"/>
  <c r="U120" i="8"/>
  <c r="AR120" i="8" s="1"/>
  <c r="U109" i="8"/>
  <c r="AR109" i="8" s="1"/>
  <c r="U108" i="8"/>
  <c r="AR108" i="8" s="1"/>
  <c r="U123" i="8"/>
  <c r="AR123" i="8" s="1"/>
  <c r="T110" i="8"/>
  <c r="AQ110" i="8" s="1"/>
  <c r="AO119" i="8"/>
  <c r="T116" i="8"/>
  <c r="AQ116" i="8" s="1"/>
  <c r="AO117" i="8"/>
  <c r="AO102" i="8"/>
  <c r="R98" i="8"/>
  <c r="Z74" i="8"/>
  <c r="AO109" i="8"/>
  <c r="AO121" i="8"/>
  <c r="T94" i="8"/>
  <c r="AQ94" i="8" s="1"/>
  <c r="T115" i="8"/>
  <c r="AQ115" i="8" s="1"/>
  <c r="AO127" i="8"/>
  <c r="AO94" i="8"/>
  <c r="AO103" i="8"/>
  <c r="T124" i="8"/>
  <c r="AQ124" i="8" s="1"/>
  <c r="AO92" i="8"/>
  <c r="AO105" i="8"/>
  <c r="AO108" i="8"/>
  <c r="T125" i="8"/>
  <c r="AQ125" i="8" s="1"/>
  <c r="U104" i="8"/>
  <c r="AR104" i="8" s="1"/>
  <c r="AO125" i="8"/>
  <c r="T98" i="8"/>
  <c r="AQ98" i="8" s="1"/>
  <c r="T99" i="8"/>
  <c r="AQ99" i="8" s="1"/>
  <c r="I42" i="8"/>
  <c r="K41" i="8"/>
  <c r="Q41" i="8"/>
  <c r="AO106" i="8"/>
  <c r="L44" i="8"/>
  <c r="R44" i="8"/>
  <c r="F100" i="8" s="1"/>
  <c r="AO118" i="8"/>
  <c r="AO120" i="8"/>
  <c r="AO113" i="8"/>
  <c r="AO107" i="8"/>
  <c r="T106" i="8"/>
  <c r="AQ106" i="8" s="1"/>
  <c r="AO115" i="8"/>
  <c r="AO116" i="8"/>
  <c r="AO130" i="8"/>
  <c r="AO95" i="8"/>
  <c r="AO123" i="8"/>
  <c r="T95" i="8"/>
  <c r="AQ95" i="8" s="1"/>
  <c r="T111" i="8"/>
  <c r="AQ111" i="8" s="1"/>
  <c r="T101" i="8" l="1"/>
  <c r="AQ101" i="8" s="1"/>
  <c r="U103" i="8"/>
  <c r="AR103" i="8" s="1"/>
  <c r="S98" i="8"/>
  <c r="AP98" i="8" s="1"/>
  <c r="R91" i="8"/>
  <c r="S120" i="8"/>
  <c r="AP120" i="8" s="1"/>
  <c r="U102" i="8"/>
  <c r="AR102" i="8" s="1"/>
  <c r="S118" i="8"/>
  <c r="AP118" i="8" s="1"/>
  <c r="S125" i="8"/>
  <c r="AP125" i="8" s="1"/>
  <c r="S130" i="8"/>
  <c r="AP130" i="8" s="1"/>
  <c r="T102" i="8"/>
  <c r="AQ102" i="8" s="1"/>
  <c r="S107" i="8"/>
  <c r="AP107" i="8" s="1"/>
  <c r="N18" i="40"/>
  <c r="X18" i="40" s="1"/>
  <c r="Y18" i="40" s="1"/>
  <c r="G12" i="22" s="1"/>
  <c r="U101" i="8"/>
  <c r="AR101" i="8" s="1"/>
  <c r="S97" i="8"/>
  <c r="V97" i="8" s="1"/>
  <c r="AS97" i="8" s="1"/>
  <c r="S109" i="8"/>
  <c r="AP109" i="8" s="1"/>
  <c r="S131" i="8"/>
  <c r="AP131" i="8" s="1"/>
  <c r="S113" i="8"/>
  <c r="S117" i="8"/>
  <c r="AP117" i="8" s="1"/>
  <c r="S126" i="8"/>
  <c r="AP126" i="8" s="1"/>
  <c r="S115" i="8"/>
  <c r="AP115" i="8" s="1"/>
  <c r="S112" i="8"/>
  <c r="AP112" i="8" s="1"/>
  <c r="S106" i="8"/>
  <c r="AP106" i="8" s="1"/>
  <c r="S94" i="8"/>
  <c r="AP94" i="8" s="1"/>
  <c r="S95" i="8"/>
  <c r="S122" i="8"/>
  <c r="AP122" i="8" s="1"/>
  <c r="S105" i="8"/>
  <c r="AP105" i="8" s="1"/>
  <c r="S116" i="8"/>
  <c r="S96" i="8"/>
  <c r="V96" i="8" s="1"/>
  <c r="AS96" i="8" s="1"/>
  <c r="S121" i="8"/>
  <c r="AP121" i="8" s="1"/>
  <c r="S103" i="8"/>
  <c r="AP103" i="8" s="1"/>
  <c r="S127" i="8"/>
  <c r="AP127" i="8" s="1"/>
  <c r="AP108" i="8"/>
  <c r="V108" i="8"/>
  <c r="AS108" i="8" s="1"/>
  <c r="S110" i="8"/>
  <c r="M44" i="8"/>
  <c r="S44" i="8"/>
  <c r="S123" i="8"/>
  <c r="AE105" i="8"/>
  <c r="AB106" i="8"/>
  <c r="AF105" i="8"/>
  <c r="AD105" i="8"/>
  <c r="AG105" i="8"/>
  <c r="AJ105" i="8"/>
  <c r="AK105" i="8"/>
  <c r="AH105" i="8"/>
  <c r="AI105" i="8"/>
  <c r="AC105" i="8"/>
  <c r="F101" i="8"/>
  <c r="S104" i="8"/>
  <c r="S128" i="8"/>
  <c r="T100" i="8"/>
  <c r="AQ100" i="8" s="1"/>
  <c r="W122" i="8"/>
  <c r="AT122" i="8" s="1"/>
  <c r="W112" i="8"/>
  <c r="AT112" i="8" s="1"/>
  <c r="W124" i="8"/>
  <c r="AT124" i="8" s="1"/>
  <c r="W97" i="8"/>
  <c r="AT97" i="8" s="1"/>
  <c r="W116" i="8"/>
  <c r="AT116" i="8" s="1"/>
  <c r="W103" i="8"/>
  <c r="AT103" i="8" s="1"/>
  <c r="W114" i="8"/>
  <c r="AT114" i="8" s="1"/>
  <c r="E49" i="8"/>
  <c r="B3" i="9"/>
  <c r="W101" i="8"/>
  <c r="AT101" i="8" s="1"/>
  <c r="W111" i="8"/>
  <c r="AT111" i="8" s="1"/>
  <c r="W99" i="8"/>
  <c r="AT99" i="8" s="1"/>
  <c r="W108" i="8"/>
  <c r="AT108" i="8" s="1"/>
  <c r="W125" i="8"/>
  <c r="AT125" i="8" s="1"/>
  <c r="W126" i="8"/>
  <c r="AT126" i="8" s="1"/>
  <c r="W123" i="8"/>
  <c r="AT123" i="8" s="1"/>
  <c r="W119" i="8"/>
  <c r="AT119" i="8" s="1"/>
  <c r="W117" i="8"/>
  <c r="AT117" i="8" s="1"/>
  <c r="W92" i="8"/>
  <c r="W104" i="8"/>
  <c r="AT104" i="8" s="1"/>
  <c r="W96" i="8"/>
  <c r="AT96" i="8" s="1"/>
  <c r="W107" i="8"/>
  <c r="AT107" i="8" s="1"/>
  <c r="W105" i="8"/>
  <c r="AT105" i="8" s="1"/>
  <c r="E53" i="8"/>
  <c r="W127" i="8"/>
  <c r="AT127" i="8" s="1"/>
  <c r="W118" i="8"/>
  <c r="AT118" i="8" s="1"/>
  <c r="W100" i="8"/>
  <c r="AT100" i="8" s="1"/>
  <c r="W93" i="8"/>
  <c r="AT93" i="8" s="1"/>
  <c r="E45" i="8"/>
  <c r="W128" i="8"/>
  <c r="AT128" i="8" s="1"/>
  <c r="W94" i="8"/>
  <c r="AT94" i="8" s="1"/>
  <c r="W106" i="8"/>
  <c r="AT106" i="8" s="1"/>
  <c r="W95" i="8"/>
  <c r="AT95" i="8" s="1"/>
  <c r="W130" i="8"/>
  <c r="AT130" i="8" s="1"/>
  <c r="E47" i="8"/>
  <c r="W115" i="8"/>
  <c r="AT115" i="8" s="1"/>
  <c r="W129" i="8"/>
  <c r="AT129" i="8" s="1"/>
  <c r="W110" i="8"/>
  <c r="AT110" i="8" s="1"/>
  <c r="W98" i="8"/>
  <c r="AT98" i="8" s="1"/>
  <c r="W102" i="8"/>
  <c r="AT102" i="8" s="1"/>
  <c r="W113" i="8"/>
  <c r="AT113" i="8" s="1"/>
  <c r="W121" i="8"/>
  <c r="AT121" i="8" s="1"/>
  <c r="W109" i="8"/>
  <c r="AT109" i="8" s="1"/>
  <c r="W120" i="8"/>
  <c r="AT120" i="8" s="1"/>
  <c r="W131" i="8"/>
  <c r="AT131" i="8" s="1"/>
  <c r="E51" i="8"/>
  <c r="J42" i="8"/>
  <c r="P42" i="8"/>
  <c r="AO98" i="8"/>
  <c r="AO91" i="8" s="1"/>
  <c r="S119" i="8"/>
  <c r="S92" i="8"/>
  <c r="L41" i="8"/>
  <c r="R41" i="8"/>
  <c r="I28" i="11"/>
  <c r="V40" i="9"/>
  <c r="U40" i="9"/>
  <c r="T40" i="9"/>
  <c r="S41" i="9"/>
  <c r="AQ92" i="8"/>
  <c r="S124" i="8"/>
  <c r="H43" i="8"/>
  <c r="F43" i="8"/>
  <c r="S111" i="8"/>
  <c r="Y75" i="8"/>
  <c r="S101" i="8" s="1"/>
  <c r="AP101" i="8" s="1"/>
  <c r="S129" i="8"/>
  <c r="S114" i="8"/>
  <c r="S93" i="8"/>
  <c r="V131" i="8" l="1"/>
  <c r="AS131" i="8" s="1"/>
  <c r="V118" i="8"/>
  <c r="AS118" i="8" s="1"/>
  <c r="V120" i="8"/>
  <c r="AS120" i="8" s="1"/>
  <c r="AP97" i="8"/>
  <c r="V125" i="8"/>
  <c r="AS125" i="8" s="1"/>
  <c r="V107" i="8"/>
  <c r="AS107" i="8" s="1"/>
  <c r="V130" i="8"/>
  <c r="AS130" i="8" s="1"/>
  <c r="S102" i="8"/>
  <c r="AP102" i="8" s="1"/>
  <c r="O43" i="8"/>
  <c r="O18" i="40"/>
  <c r="G12" i="16" s="1"/>
  <c r="V126" i="8"/>
  <c r="AS126" i="8" s="1"/>
  <c r="V115" i="8"/>
  <c r="AS115" i="8" s="1"/>
  <c r="V117" i="8"/>
  <c r="AS117" i="8" s="1"/>
  <c r="V109" i="8"/>
  <c r="AS109" i="8" s="1"/>
  <c r="V106" i="8"/>
  <c r="AS106" i="8" s="1"/>
  <c r="Y97" i="8"/>
  <c r="AV97" i="8" s="1"/>
  <c r="V112" i="8"/>
  <c r="Y112" i="8" s="1"/>
  <c r="AV112" i="8" s="1"/>
  <c r="Y96" i="8"/>
  <c r="AV96" i="8" s="1"/>
  <c r="V122" i="8"/>
  <c r="AP96" i="8"/>
  <c r="V94" i="8"/>
  <c r="AS94" i="8" s="1"/>
  <c r="V105" i="8"/>
  <c r="AS105" i="8" s="1"/>
  <c r="AP113" i="8"/>
  <c r="V113" i="8"/>
  <c r="V127" i="8"/>
  <c r="AS127" i="8" s="1"/>
  <c r="V103" i="8"/>
  <c r="V121" i="8"/>
  <c r="AS121" i="8" s="1"/>
  <c r="AP95" i="8"/>
  <c r="V95" i="8"/>
  <c r="AP116" i="8"/>
  <c r="V116" i="8"/>
  <c r="AS116" i="8" s="1"/>
  <c r="V101" i="8"/>
  <c r="AS101" i="8" s="1"/>
  <c r="Y108" i="8"/>
  <c r="AV108" i="8" s="1"/>
  <c r="G43" i="8"/>
  <c r="AP111" i="8"/>
  <c r="V111" i="8"/>
  <c r="AS111" i="8" s="1"/>
  <c r="AQ91" i="8"/>
  <c r="AP92" i="8"/>
  <c r="V92" i="8"/>
  <c r="F53" i="8"/>
  <c r="H53" i="8"/>
  <c r="F49" i="8"/>
  <c r="H49" i="8"/>
  <c r="AP123" i="8"/>
  <c r="V123" i="8"/>
  <c r="AS123" i="8" s="1"/>
  <c r="I43" i="8"/>
  <c r="AP104" i="8"/>
  <c r="V104" i="8"/>
  <c r="AS104" i="8" s="1"/>
  <c r="F4" i="5"/>
  <c r="F5" i="5" s="1"/>
  <c r="F16" i="5" s="1"/>
  <c r="I12" i="2"/>
  <c r="B20" i="9"/>
  <c r="B5" i="9"/>
  <c r="B4" i="9"/>
  <c r="T91" i="8"/>
  <c r="AP119" i="8"/>
  <c r="V119" i="8"/>
  <c r="AS119" i="8" s="1"/>
  <c r="N44" i="8"/>
  <c r="F107" i="8" s="1"/>
  <c r="T44" i="8"/>
  <c r="AP93" i="8"/>
  <c r="V93" i="8"/>
  <c r="AS93" i="8" s="1"/>
  <c r="AP129" i="8"/>
  <c r="V129" i="8"/>
  <c r="AS129" i="8" s="1"/>
  <c r="AP110" i="8"/>
  <c r="V110" i="8"/>
  <c r="AS110" i="8" s="1"/>
  <c r="H51" i="8"/>
  <c r="F51" i="8"/>
  <c r="AP128" i="8"/>
  <c r="V128" i="8"/>
  <c r="AS128" i="8" s="1"/>
  <c r="S99" i="8"/>
  <c r="Z75" i="8"/>
  <c r="S100" i="8"/>
  <c r="C100" i="8"/>
  <c r="C101" i="8"/>
  <c r="M41" i="8"/>
  <c r="S41" i="8"/>
  <c r="I29" i="11"/>
  <c r="U41" i="9"/>
  <c r="T41" i="9"/>
  <c r="V41" i="9"/>
  <c r="S42" i="9"/>
  <c r="AJ106" i="8"/>
  <c r="AF106" i="8"/>
  <c r="AH106" i="8"/>
  <c r="AE106" i="8"/>
  <c r="AD106" i="8"/>
  <c r="AG106" i="8"/>
  <c r="AB107" i="8"/>
  <c r="AK106" i="8"/>
  <c r="AC106" i="8"/>
  <c r="AI106" i="8"/>
  <c r="AP124" i="8"/>
  <c r="V124" i="8"/>
  <c r="AS124" i="8" s="1"/>
  <c r="K42" i="8"/>
  <c r="Q42" i="8"/>
  <c r="AP114" i="8"/>
  <c r="V114" i="8"/>
  <c r="AS114" i="8" s="1"/>
  <c r="F45" i="8"/>
  <c r="H45" i="8"/>
  <c r="F47" i="8"/>
  <c r="H47" i="8"/>
  <c r="AT92" i="8"/>
  <c r="AT91" i="8" s="1"/>
  <c r="W91" i="8"/>
  <c r="O53" i="8" l="1"/>
  <c r="Y118" i="8"/>
  <c r="AV118" i="8" s="1"/>
  <c r="Y120" i="8"/>
  <c r="AV120" i="8" s="1"/>
  <c r="Y130" i="8"/>
  <c r="AV130" i="8" s="1"/>
  <c r="Y131" i="8"/>
  <c r="AV131" i="8" s="1"/>
  <c r="Y127" i="8"/>
  <c r="AV127" i="8" s="1"/>
  <c r="Y125" i="8"/>
  <c r="AV125" i="8" s="1"/>
  <c r="Y107" i="8"/>
  <c r="AV107" i="8" s="1"/>
  <c r="Y106" i="8"/>
  <c r="AV106" i="8" s="1"/>
  <c r="Y110" i="8"/>
  <c r="AV110" i="8" s="1"/>
  <c r="Y115" i="8"/>
  <c r="AV115" i="8" s="1"/>
  <c r="V102" i="8"/>
  <c r="AS102" i="8" s="1"/>
  <c r="O49" i="8"/>
  <c r="F99" i="8"/>
  <c r="Y126" i="8"/>
  <c r="AV126" i="8" s="1"/>
  <c r="P18" i="40"/>
  <c r="C19" i="40" s="1"/>
  <c r="L19" i="40" s="1"/>
  <c r="M19" i="40" s="1"/>
  <c r="Y123" i="8"/>
  <c r="AV123" i="8" s="1"/>
  <c r="Y117" i="8"/>
  <c r="AV117" i="8" s="1"/>
  <c r="Y105" i="8"/>
  <c r="AV105" i="8" s="1"/>
  <c r="AS112" i="8"/>
  <c r="Y109" i="8"/>
  <c r="AV109" i="8" s="1"/>
  <c r="S91" i="8"/>
  <c r="O51" i="8"/>
  <c r="F119" i="8"/>
  <c r="Y128" i="8"/>
  <c r="AV128" i="8" s="1"/>
  <c r="Y94" i="8"/>
  <c r="AV94" i="8" s="1"/>
  <c r="F98" i="8"/>
  <c r="AS113" i="8"/>
  <c r="Y113" i="8"/>
  <c r="AV113" i="8" s="1"/>
  <c r="M37" i="9"/>
  <c r="N37" i="9" s="1"/>
  <c r="E25" i="11" s="1"/>
  <c r="AS122" i="8"/>
  <c r="Y122" i="8"/>
  <c r="AV122" i="8" s="1"/>
  <c r="AS103" i="8"/>
  <c r="Y103" i="8"/>
  <c r="AV103" i="8" s="1"/>
  <c r="Y116" i="8"/>
  <c r="AV116" i="8" s="1"/>
  <c r="Y114" i="8"/>
  <c r="AV114" i="8" s="1"/>
  <c r="Y111" i="8"/>
  <c r="AV111" i="8" s="1"/>
  <c r="AS95" i="8"/>
  <c r="Y95" i="8"/>
  <c r="AV95" i="8" s="1"/>
  <c r="Y101" i="8"/>
  <c r="AV101" i="8" s="1"/>
  <c r="F117" i="8"/>
  <c r="Y121" i="8"/>
  <c r="AV121" i="8" s="1"/>
  <c r="Y92" i="8"/>
  <c r="AS92" i="8"/>
  <c r="F116" i="8"/>
  <c r="O47" i="8"/>
  <c r="U42" i="9"/>
  <c r="I30" i="11"/>
  <c r="V42" i="9"/>
  <c r="T42" i="9"/>
  <c r="S43" i="9"/>
  <c r="AP99" i="8"/>
  <c r="I11" i="14"/>
  <c r="J11" i="14" s="1"/>
  <c r="R13" i="13"/>
  <c r="I12" i="15"/>
  <c r="E15" i="14"/>
  <c r="M35" i="9"/>
  <c r="M34" i="9"/>
  <c r="E14" i="14"/>
  <c r="I11" i="15"/>
  <c r="E12" i="14"/>
  <c r="E14" i="15"/>
  <c r="I13" i="15"/>
  <c r="M33" i="9"/>
  <c r="I15" i="14"/>
  <c r="E13" i="14"/>
  <c r="E13" i="15"/>
  <c r="M31" i="9"/>
  <c r="R15" i="13"/>
  <c r="I12" i="14"/>
  <c r="R12" i="13"/>
  <c r="R17" i="13"/>
  <c r="R18" i="13" s="1"/>
  <c r="R19" i="13" s="1"/>
  <c r="R20" i="13" s="1"/>
  <c r="R21" i="13" s="1"/>
  <c r="R22" i="13" s="1"/>
  <c r="R23" i="13" s="1"/>
  <c r="R24" i="13" s="1"/>
  <c r="R25" i="13" s="1"/>
  <c r="R26" i="13" s="1"/>
  <c r="R27" i="13" s="1"/>
  <c r="R28" i="13" s="1"/>
  <c r="R29" i="13" s="1"/>
  <c r="R30" i="13" s="1"/>
  <c r="E12" i="15"/>
  <c r="I14" i="15"/>
  <c r="E10" i="15"/>
  <c r="F10" i="15" s="1"/>
  <c r="M36" i="9"/>
  <c r="H36" i="9" s="1"/>
  <c r="M32" i="9"/>
  <c r="R16" i="13"/>
  <c r="I13" i="14"/>
  <c r="I14" i="14"/>
  <c r="E11" i="15"/>
  <c r="R14" i="13"/>
  <c r="I10" i="15"/>
  <c r="J10" i="15" s="1"/>
  <c r="E11" i="14"/>
  <c r="F112" i="8"/>
  <c r="U44" i="8"/>
  <c r="V44" i="8" s="1"/>
  <c r="F114" i="8"/>
  <c r="F97" i="8"/>
  <c r="F124" i="8"/>
  <c r="F129" i="8"/>
  <c r="F108" i="8"/>
  <c r="F95" i="8"/>
  <c r="F122" i="8"/>
  <c r="F118" i="8"/>
  <c r="F111" i="8"/>
  <c r="F96" i="8"/>
  <c r="F92" i="8"/>
  <c r="F93" i="8"/>
  <c r="F125" i="8"/>
  <c r="F115" i="8"/>
  <c r="F130" i="8"/>
  <c r="F126" i="8"/>
  <c r="Y119" i="8"/>
  <c r="AV119" i="8" s="1"/>
  <c r="F120" i="8"/>
  <c r="O45" i="8"/>
  <c r="F123" i="8"/>
  <c r="J43" i="8"/>
  <c r="P43" i="8"/>
  <c r="L42" i="8"/>
  <c r="R42" i="8"/>
  <c r="D100" i="8" s="1"/>
  <c r="E50" i="8"/>
  <c r="G49" i="8"/>
  <c r="I45" i="8"/>
  <c r="F127" i="8"/>
  <c r="I47" i="8"/>
  <c r="G47" i="8"/>
  <c r="E48" i="8"/>
  <c r="F94" i="8"/>
  <c r="D20" i="9"/>
  <c r="D80" i="8"/>
  <c r="Y93" i="8"/>
  <c r="AV93" i="8" s="1"/>
  <c r="F128" i="8"/>
  <c r="N41" i="8"/>
  <c r="C98" i="8" s="1"/>
  <c r="T41" i="8"/>
  <c r="C102" i="8" s="1"/>
  <c r="F121" i="8"/>
  <c r="Y124" i="8"/>
  <c r="AV124" i="8" s="1"/>
  <c r="I51" i="8"/>
  <c r="F113" i="8"/>
  <c r="AB108" i="8"/>
  <c r="AJ107" i="8"/>
  <c r="AF107" i="8"/>
  <c r="AE107" i="8"/>
  <c r="AK107" i="8"/>
  <c r="AD107" i="8"/>
  <c r="AH107" i="8"/>
  <c r="AC107" i="8"/>
  <c r="AG107" i="8"/>
  <c r="AI107" i="8"/>
  <c r="F131" i="8"/>
  <c r="I53" i="8"/>
  <c r="Y104" i="8"/>
  <c r="AV104" i="8" s="1"/>
  <c r="AP100" i="8"/>
  <c r="G45" i="8"/>
  <c r="E46" i="8"/>
  <c r="Y129" i="8"/>
  <c r="AV129" i="8" s="1"/>
  <c r="F109" i="8"/>
  <c r="E54" i="8"/>
  <c r="G53" i="8"/>
  <c r="F102" i="8"/>
  <c r="F103" i="8"/>
  <c r="G51" i="8"/>
  <c r="E52" i="8"/>
  <c r="I49" i="8"/>
  <c r="F110" i="8"/>
  <c r="F105" i="8" l="1"/>
  <c r="Y102" i="8"/>
  <c r="AV102" i="8" s="1"/>
  <c r="F106" i="8"/>
  <c r="C99" i="8"/>
  <c r="D25" i="11"/>
  <c r="C25" i="11"/>
  <c r="K37" i="9"/>
  <c r="AP91" i="8"/>
  <c r="C129" i="8"/>
  <c r="U41" i="8"/>
  <c r="C104" i="8" s="1"/>
  <c r="C124" i="8"/>
  <c r="C118" i="8"/>
  <c r="C122" i="8"/>
  <c r="C119" i="8"/>
  <c r="F50" i="8"/>
  <c r="G50" i="8" s="1"/>
  <c r="H50" i="8"/>
  <c r="AE16" i="13"/>
  <c r="AB16" i="13"/>
  <c r="AC16" i="13"/>
  <c r="AD16" i="13"/>
  <c r="C117" i="8"/>
  <c r="C116" i="8"/>
  <c r="C92" i="8"/>
  <c r="X97" i="8"/>
  <c r="AU97" i="8" s="1"/>
  <c r="X98" i="8"/>
  <c r="AU98" i="8" s="1"/>
  <c r="X93" i="8"/>
  <c r="AU93" i="8" s="1"/>
  <c r="X109" i="8"/>
  <c r="AU109" i="8" s="1"/>
  <c r="X126" i="8"/>
  <c r="AU126" i="8" s="1"/>
  <c r="X117" i="8"/>
  <c r="AU117" i="8" s="1"/>
  <c r="X131" i="8"/>
  <c r="AU131" i="8" s="1"/>
  <c r="X96" i="8"/>
  <c r="AU96" i="8" s="1"/>
  <c r="X111" i="8"/>
  <c r="AU111" i="8" s="1"/>
  <c r="X103" i="8"/>
  <c r="AU103" i="8" s="1"/>
  <c r="X128" i="8"/>
  <c r="AU128" i="8" s="1"/>
  <c r="X104" i="8"/>
  <c r="AU104" i="8" s="1"/>
  <c r="X95" i="8"/>
  <c r="AU95" i="8" s="1"/>
  <c r="X124" i="8"/>
  <c r="AU124" i="8" s="1"/>
  <c r="X123" i="8"/>
  <c r="AU123" i="8" s="1"/>
  <c r="X102" i="8"/>
  <c r="AU102" i="8" s="1"/>
  <c r="X125" i="8"/>
  <c r="AU125" i="8" s="1"/>
  <c r="X112" i="8"/>
  <c r="AU112" i="8" s="1"/>
  <c r="X113" i="8"/>
  <c r="AU113" i="8" s="1"/>
  <c r="X94" i="8"/>
  <c r="AU94" i="8" s="1"/>
  <c r="X100" i="8"/>
  <c r="AU100" i="8" s="1"/>
  <c r="X129" i="8"/>
  <c r="AU129" i="8" s="1"/>
  <c r="X118" i="8"/>
  <c r="AU118" i="8" s="1"/>
  <c r="X105" i="8"/>
  <c r="AU105" i="8" s="1"/>
  <c r="X116" i="8"/>
  <c r="AU116" i="8" s="1"/>
  <c r="X108" i="8"/>
  <c r="AU108" i="8" s="1"/>
  <c r="X101" i="8"/>
  <c r="AU101" i="8" s="1"/>
  <c r="X119" i="8"/>
  <c r="AU119" i="8" s="1"/>
  <c r="X127" i="8"/>
  <c r="AU127" i="8" s="1"/>
  <c r="X120" i="8"/>
  <c r="AU120" i="8" s="1"/>
  <c r="X114" i="8"/>
  <c r="AU114" i="8" s="1"/>
  <c r="X107" i="8"/>
  <c r="AU107" i="8" s="1"/>
  <c r="X121" i="8"/>
  <c r="AU121" i="8" s="1"/>
  <c r="X122" i="8"/>
  <c r="AU122" i="8" s="1"/>
  <c r="X106" i="8"/>
  <c r="AU106" i="8" s="1"/>
  <c r="X110" i="8"/>
  <c r="AU110" i="8" s="1"/>
  <c r="X92" i="8"/>
  <c r="X115" i="8"/>
  <c r="AU115" i="8" s="1"/>
  <c r="X99" i="8"/>
  <c r="AU99" i="8" s="1"/>
  <c r="X130" i="8"/>
  <c r="AU130" i="8" s="1"/>
  <c r="C109" i="8"/>
  <c r="K43" i="8"/>
  <c r="Q43" i="8"/>
  <c r="E100" i="8" s="1"/>
  <c r="H35" i="9"/>
  <c r="D23" i="11"/>
  <c r="K35" i="9"/>
  <c r="N35" i="9"/>
  <c r="C120" i="8"/>
  <c r="C123" i="8"/>
  <c r="C103" i="8"/>
  <c r="AE13" i="13"/>
  <c r="AB13" i="13"/>
  <c r="AC13" i="13"/>
  <c r="AD13" i="13"/>
  <c r="C127" i="8"/>
  <c r="AB15" i="13"/>
  <c r="AC15" i="13"/>
  <c r="AD15" i="13"/>
  <c r="AE15" i="13"/>
  <c r="C114" i="8"/>
  <c r="M42" i="8"/>
  <c r="S42" i="8"/>
  <c r="AV92" i="8"/>
  <c r="J49" i="8"/>
  <c r="P49" i="8"/>
  <c r="C113" i="8"/>
  <c r="AB12" i="13"/>
  <c r="AC12" i="13"/>
  <c r="AD12" i="13"/>
  <c r="AE12" i="13"/>
  <c r="J53" i="8"/>
  <c r="P53" i="8"/>
  <c r="H48" i="8"/>
  <c r="F48" i="8"/>
  <c r="G48" i="8" s="1"/>
  <c r="C112" i="8"/>
  <c r="W19" i="40"/>
  <c r="N19" i="40"/>
  <c r="X19" i="40" s="1"/>
  <c r="F104" i="8"/>
  <c r="F12" i="14"/>
  <c r="F11" i="14"/>
  <c r="D19" i="11"/>
  <c r="H31" i="9"/>
  <c r="N31" i="9"/>
  <c r="K31" i="9"/>
  <c r="H54" i="8"/>
  <c r="F54" i="8"/>
  <c r="G54" i="8" s="1"/>
  <c r="C95" i="8"/>
  <c r="C125" i="8"/>
  <c r="AE108" i="8"/>
  <c r="AF108" i="8"/>
  <c r="AD108" i="8"/>
  <c r="AG108" i="8"/>
  <c r="AH108" i="8"/>
  <c r="AC108" i="8"/>
  <c r="AB109" i="8"/>
  <c r="AI108" i="8"/>
  <c r="AK108" i="8"/>
  <c r="AJ108" i="8"/>
  <c r="C35" i="9"/>
  <c r="C31" i="9"/>
  <c r="C32" i="9"/>
  <c r="C34" i="9"/>
  <c r="C33" i="9"/>
  <c r="C36" i="9"/>
  <c r="J51" i="8"/>
  <c r="P51" i="8"/>
  <c r="C128" i="8"/>
  <c r="H52" i="8"/>
  <c r="F52" i="8"/>
  <c r="G52" i="8" s="1"/>
  <c r="C115" i="8"/>
  <c r="C97" i="8"/>
  <c r="AB14" i="13"/>
  <c r="AC14" i="13"/>
  <c r="AE14" i="13"/>
  <c r="AD14" i="13"/>
  <c r="C131" i="8"/>
  <c r="C126" i="8"/>
  <c r="C130" i="8"/>
  <c r="D22" i="11"/>
  <c r="K34" i="9"/>
  <c r="N34" i="9"/>
  <c r="H34" i="9"/>
  <c r="C108" i="8"/>
  <c r="F46" i="8"/>
  <c r="H46" i="8"/>
  <c r="F15" i="5"/>
  <c r="C93" i="8"/>
  <c r="C96" i="8"/>
  <c r="D20" i="11"/>
  <c r="H32" i="9"/>
  <c r="N32" i="9"/>
  <c r="K32" i="9"/>
  <c r="D24" i="11"/>
  <c r="K36" i="9"/>
  <c r="N36" i="9"/>
  <c r="C121" i="8"/>
  <c r="C107" i="8"/>
  <c r="J47" i="8"/>
  <c r="P47" i="8"/>
  <c r="C94" i="8"/>
  <c r="C110" i="8"/>
  <c r="C111" i="8"/>
  <c r="J45" i="8"/>
  <c r="P45" i="8"/>
  <c r="K33" i="9"/>
  <c r="H33" i="9"/>
  <c r="N33" i="9"/>
  <c r="D21" i="11"/>
  <c r="V43" i="9"/>
  <c r="S44" i="9"/>
  <c r="U43" i="9"/>
  <c r="T43" i="9"/>
  <c r="I31" i="11"/>
  <c r="R31" i="13"/>
  <c r="F91" i="8" l="1"/>
  <c r="C106" i="8"/>
  <c r="C105" i="8"/>
  <c r="O48" i="8"/>
  <c r="O52" i="8"/>
  <c r="Y19" i="40"/>
  <c r="G13" i="22" s="1"/>
  <c r="K47" i="8"/>
  <c r="Q47" i="8"/>
  <c r="C24" i="11"/>
  <c r="E24" i="11"/>
  <c r="O50" i="8"/>
  <c r="I50" i="8"/>
  <c r="C22" i="11"/>
  <c r="E22" i="11"/>
  <c r="K45" i="8"/>
  <c r="Q45" i="8"/>
  <c r="E21" i="11"/>
  <c r="C21" i="11"/>
  <c r="K49" i="8"/>
  <c r="Q49" i="8"/>
  <c r="I48" i="8"/>
  <c r="D101" i="8"/>
  <c r="N42" i="8"/>
  <c r="D117" i="8" s="1"/>
  <c r="T42" i="8"/>
  <c r="D102" i="8" s="1"/>
  <c r="D103" i="8"/>
  <c r="E19" i="11"/>
  <c r="C19" i="11"/>
  <c r="O46" i="8"/>
  <c r="I46" i="8"/>
  <c r="O54" i="8"/>
  <c r="AF16" i="13"/>
  <c r="AF15" i="13"/>
  <c r="E23" i="11"/>
  <c r="C23" i="11"/>
  <c r="G46" i="8"/>
  <c r="G55" i="8" s="1"/>
  <c r="B58" i="8" s="1"/>
  <c r="B9" i="9" s="1"/>
  <c r="B59" i="8"/>
  <c r="B7" i="9" s="1"/>
  <c r="AB110" i="8"/>
  <c r="AI109" i="8"/>
  <c r="AC109" i="8"/>
  <c r="AH109" i="8"/>
  <c r="AJ109" i="8"/>
  <c r="AK109" i="8"/>
  <c r="AD109" i="8"/>
  <c r="AE109" i="8"/>
  <c r="AF109" i="8"/>
  <c r="AG109" i="8"/>
  <c r="AF12" i="13"/>
  <c r="V41" i="8"/>
  <c r="AF14" i="13"/>
  <c r="I54" i="8"/>
  <c r="L43" i="8"/>
  <c r="R43" i="8"/>
  <c r="C20" i="11"/>
  <c r="E20" i="11"/>
  <c r="T44" i="9"/>
  <c r="U44" i="9"/>
  <c r="I32" i="11"/>
  <c r="S45" i="9"/>
  <c r="V44" i="9"/>
  <c r="I52" i="8"/>
  <c r="K51" i="8"/>
  <c r="Q51" i="8"/>
  <c r="X91" i="8"/>
  <c r="AU92" i="8"/>
  <c r="AU91" i="8" s="1"/>
  <c r="K53" i="8"/>
  <c r="Q53" i="8"/>
  <c r="AF13" i="13"/>
  <c r="O19" i="40"/>
  <c r="R32" i="13"/>
  <c r="C91" i="8" l="1"/>
  <c r="D127" i="8"/>
  <c r="D99" i="8"/>
  <c r="D108" i="8"/>
  <c r="D124" i="8"/>
  <c r="D119" i="8"/>
  <c r="D115" i="8"/>
  <c r="D95" i="8"/>
  <c r="D120" i="8"/>
  <c r="D125" i="8"/>
  <c r="D121" i="8"/>
  <c r="D112" i="8"/>
  <c r="D123" i="8"/>
  <c r="D107" i="8"/>
  <c r="D122" i="8"/>
  <c r="D94" i="8"/>
  <c r="D93" i="8"/>
  <c r="D109" i="8"/>
  <c r="D126" i="8"/>
  <c r="D111" i="8"/>
  <c r="D113" i="8"/>
  <c r="D130" i="8"/>
  <c r="D98" i="8"/>
  <c r="D131" i="8"/>
  <c r="C21" i="9"/>
  <c r="L53" i="8"/>
  <c r="R53" i="8"/>
  <c r="O100" i="8" s="1"/>
  <c r="AI110" i="8"/>
  <c r="AB111" i="8"/>
  <c r="AK110" i="8"/>
  <c r="AF110" i="8"/>
  <c r="AG110" i="8"/>
  <c r="AH110" i="8"/>
  <c r="AC110" i="8"/>
  <c r="AJ110" i="8"/>
  <c r="AE110" i="8"/>
  <c r="AD110" i="8"/>
  <c r="J48" i="8"/>
  <c r="P48" i="8"/>
  <c r="G13" i="16"/>
  <c r="P19" i="40"/>
  <c r="C20" i="40" s="1"/>
  <c r="B14" i="9"/>
  <c r="B8" i="9" s="1"/>
  <c r="R51" i="8"/>
  <c r="M100" i="8" s="1"/>
  <c r="L51" i="8"/>
  <c r="J54" i="8"/>
  <c r="P54" i="8"/>
  <c r="M43" i="8"/>
  <c r="S43" i="8"/>
  <c r="E101" i="8" s="1"/>
  <c r="L49" i="8"/>
  <c r="R49" i="8"/>
  <c r="L47" i="8"/>
  <c r="R47" i="8"/>
  <c r="J52" i="8"/>
  <c r="P52" i="8"/>
  <c r="J46" i="8"/>
  <c r="P46" i="8"/>
  <c r="J50" i="8"/>
  <c r="P50" i="8"/>
  <c r="I33" i="11"/>
  <c r="U45" i="9"/>
  <c r="S46" i="9"/>
  <c r="V45" i="9"/>
  <c r="T45" i="9"/>
  <c r="D110" i="8"/>
  <c r="U42" i="8"/>
  <c r="D105" i="8" s="1"/>
  <c r="D92" i="8"/>
  <c r="D129" i="8"/>
  <c r="D96" i="8"/>
  <c r="D118" i="8"/>
  <c r="D116" i="8"/>
  <c r="D114" i="8"/>
  <c r="D128" i="8"/>
  <c r="L45" i="8"/>
  <c r="R45" i="8"/>
  <c r="G99" i="8" s="1"/>
  <c r="D97" i="8"/>
  <c r="R33" i="13"/>
  <c r="D106" i="8" l="1"/>
  <c r="K52" i="8"/>
  <c r="Q52" i="8"/>
  <c r="AG111" i="8"/>
  <c r="AK111" i="8"/>
  <c r="AE111" i="8"/>
  <c r="AD111" i="8"/>
  <c r="AC111" i="8"/>
  <c r="AB112" i="8"/>
  <c r="AF111" i="8"/>
  <c r="AJ111" i="8"/>
  <c r="AH111" i="8"/>
  <c r="AI111" i="8"/>
  <c r="N43" i="8"/>
  <c r="E99" i="8" s="1"/>
  <c r="T43" i="8"/>
  <c r="B21" i="9"/>
  <c r="B11" i="9"/>
  <c r="M47" i="8"/>
  <c r="S47" i="8"/>
  <c r="I100" i="8" s="1"/>
  <c r="E102" i="8"/>
  <c r="M51" i="8"/>
  <c r="S51" i="8"/>
  <c r="M101" i="8" s="1"/>
  <c r="L20" i="40"/>
  <c r="M53" i="8"/>
  <c r="S53" i="8"/>
  <c r="O101" i="8" s="1"/>
  <c r="K50" i="8"/>
  <c r="Q50" i="8"/>
  <c r="K48" i="8"/>
  <c r="Q48" i="8"/>
  <c r="V46" i="9"/>
  <c r="S47" i="9"/>
  <c r="I34" i="11"/>
  <c r="U46" i="9"/>
  <c r="T46" i="9"/>
  <c r="K54" i="8"/>
  <c r="Q54" i="8"/>
  <c r="M49" i="8"/>
  <c r="S49" i="8"/>
  <c r="K100" i="8" s="1"/>
  <c r="K102" i="8"/>
  <c r="D104" i="8"/>
  <c r="V42" i="8"/>
  <c r="M45" i="8"/>
  <c r="S45" i="8"/>
  <c r="G100" i="8" s="1"/>
  <c r="K46" i="8"/>
  <c r="Q46" i="8"/>
  <c r="R34" i="13"/>
  <c r="E97" i="8" l="1"/>
  <c r="D91" i="8"/>
  <c r="E109" i="8"/>
  <c r="E112" i="8"/>
  <c r="E98" i="8"/>
  <c r="E114" i="8"/>
  <c r="E129" i="8"/>
  <c r="E117" i="8"/>
  <c r="E93" i="8"/>
  <c r="E95" i="8"/>
  <c r="E122" i="8"/>
  <c r="E107" i="8"/>
  <c r="E120" i="8"/>
  <c r="E130" i="8"/>
  <c r="E108" i="8"/>
  <c r="E127" i="8"/>
  <c r="E119" i="8"/>
  <c r="L48" i="8"/>
  <c r="R48" i="8"/>
  <c r="L50" i="8"/>
  <c r="R50" i="8"/>
  <c r="S48" i="9"/>
  <c r="I35" i="11"/>
  <c r="U47" i="9"/>
  <c r="V47" i="9"/>
  <c r="T47" i="9"/>
  <c r="E123" i="8"/>
  <c r="U43" i="8"/>
  <c r="E106" i="8" s="1"/>
  <c r="E125" i="8"/>
  <c r="E131" i="8"/>
  <c r="E96" i="8"/>
  <c r="E94" i="8"/>
  <c r="E128" i="8"/>
  <c r="E115" i="8"/>
  <c r="E116" i="8"/>
  <c r="E126" i="8"/>
  <c r="E121" i="8"/>
  <c r="E92" i="8"/>
  <c r="E113" i="8"/>
  <c r="N47" i="8"/>
  <c r="I130" i="8" s="1"/>
  <c r="T47" i="8"/>
  <c r="I101" i="8" s="1"/>
  <c r="N53" i="8"/>
  <c r="O99" i="8" s="1"/>
  <c r="T53" i="8"/>
  <c r="O102" i="8" s="1"/>
  <c r="L46" i="8"/>
  <c r="R46" i="8"/>
  <c r="N45" i="8"/>
  <c r="G107" i="8" s="1"/>
  <c r="T45" i="8"/>
  <c r="G101" i="8" s="1"/>
  <c r="M20" i="40"/>
  <c r="E111" i="8"/>
  <c r="L52" i="8"/>
  <c r="R52" i="8"/>
  <c r="N100" i="8" s="1"/>
  <c r="D21" i="9"/>
  <c r="B22" i="9"/>
  <c r="D22" i="9" s="1"/>
  <c r="L54" i="8"/>
  <c r="R54" i="8"/>
  <c r="P100" i="8" s="1"/>
  <c r="E124" i="8"/>
  <c r="E110" i="8"/>
  <c r="AK112" i="8"/>
  <c r="AC112" i="8"/>
  <c r="AD112" i="8"/>
  <c r="AB113" i="8"/>
  <c r="AE112" i="8"/>
  <c r="AG112" i="8"/>
  <c r="AJ112" i="8"/>
  <c r="AH112" i="8"/>
  <c r="AF112" i="8"/>
  <c r="AI112" i="8"/>
  <c r="N51" i="8"/>
  <c r="M116" i="8" s="1"/>
  <c r="T51" i="8"/>
  <c r="M102" i="8" s="1"/>
  <c r="N49" i="8"/>
  <c r="K114" i="8" s="1"/>
  <c r="T49" i="8"/>
  <c r="B13" i="9"/>
  <c r="B15" i="9" s="1"/>
  <c r="E118" i="8"/>
  <c r="R35" i="13"/>
  <c r="I99" i="8" l="1"/>
  <c r="I119" i="8"/>
  <c r="K99" i="8"/>
  <c r="G98" i="8"/>
  <c r="K121" i="8"/>
  <c r="K92" i="8"/>
  <c r="I123" i="8"/>
  <c r="I98" i="8"/>
  <c r="M99" i="8"/>
  <c r="K113" i="8"/>
  <c r="I95" i="8"/>
  <c r="I112" i="8"/>
  <c r="K98" i="8"/>
  <c r="I117" i="8"/>
  <c r="I131" i="8"/>
  <c r="G129" i="8"/>
  <c r="I127" i="8"/>
  <c r="I97" i="8"/>
  <c r="V43" i="8"/>
  <c r="E105" i="8"/>
  <c r="O116" i="8"/>
  <c r="O98" i="8"/>
  <c r="G97" i="8"/>
  <c r="M94" i="8"/>
  <c r="M98" i="8"/>
  <c r="I110" i="8"/>
  <c r="I118" i="8"/>
  <c r="O92" i="8"/>
  <c r="I116" i="8"/>
  <c r="O131" i="8"/>
  <c r="M93" i="8"/>
  <c r="I92" i="8"/>
  <c r="I107" i="8"/>
  <c r="I129" i="8"/>
  <c r="I109" i="8"/>
  <c r="M108" i="8"/>
  <c r="K101" i="8"/>
  <c r="K103" i="8"/>
  <c r="M112" i="8"/>
  <c r="G131" i="8"/>
  <c r="U48" i="9"/>
  <c r="S49" i="9"/>
  <c r="T48" i="9"/>
  <c r="I36" i="11"/>
  <c r="V48" i="9"/>
  <c r="M109" i="8"/>
  <c r="O126" i="8"/>
  <c r="M50" i="8"/>
  <c r="S50" i="8"/>
  <c r="L100" i="8" s="1"/>
  <c r="K111" i="8"/>
  <c r="U49" i="8"/>
  <c r="K104" i="8" s="1"/>
  <c r="K117" i="8"/>
  <c r="K112" i="8"/>
  <c r="K93" i="8"/>
  <c r="K125" i="8"/>
  <c r="K129" i="8"/>
  <c r="K109" i="8"/>
  <c r="K130" i="8"/>
  <c r="K122" i="8"/>
  <c r="K120" i="8"/>
  <c r="K97" i="8"/>
  <c r="K110" i="8"/>
  <c r="K124" i="8"/>
  <c r="K107" i="8"/>
  <c r="K94" i="8"/>
  <c r="K95" i="8"/>
  <c r="K127" i="8"/>
  <c r="K115" i="8"/>
  <c r="K108" i="8"/>
  <c r="K119" i="8"/>
  <c r="K131" i="8"/>
  <c r="K128" i="8"/>
  <c r="K116" i="8"/>
  <c r="K123" i="8"/>
  <c r="K126" i="8"/>
  <c r="B16" i="9"/>
  <c r="M96" i="8"/>
  <c r="M92" i="8"/>
  <c r="M54" i="8"/>
  <c r="S54" i="8"/>
  <c r="P101" i="8" s="1"/>
  <c r="G116" i="8"/>
  <c r="I94" i="8"/>
  <c r="U47" i="8"/>
  <c r="I102" i="8" s="1"/>
  <c r="I128" i="8"/>
  <c r="I125" i="8"/>
  <c r="I126" i="8"/>
  <c r="I93" i="8"/>
  <c r="I111" i="8"/>
  <c r="I96" i="8"/>
  <c r="I114" i="8"/>
  <c r="I113" i="8"/>
  <c r="I115" i="8"/>
  <c r="I122" i="8"/>
  <c r="I120" i="8"/>
  <c r="I108" i="8"/>
  <c r="I124" i="8"/>
  <c r="I121" i="8"/>
  <c r="E103" i="8"/>
  <c r="E104" i="8"/>
  <c r="G92" i="8"/>
  <c r="M118" i="8"/>
  <c r="O114" i="8"/>
  <c r="O124" i="8"/>
  <c r="K118" i="8"/>
  <c r="O96" i="8"/>
  <c r="M123" i="8"/>
  <c r="AE113" i="8"/>
  <c r="AI113" i="8"/>
  <c r="AH113" i="8"/>
  <c r="AD113" i="8"/>
  <c r="AF113" i="8"/>
  <c r="AB114" i="8"/>
  <c r="AG113" i="8"/>
  <c r="AK113" i="8"/>
  <c r="AC113" i="8"/>
  <c r="AJ113" i="8"/>
  <c r="M121" i="8"/>
  <c r="D53" i="9"/>
  <c r="E37" i="9"/>
  <c r="E34" i="9"/>
  <c r="E38" i="9"/>
  <c r="E36" i="9"/>
  <c r="E32" i="9"/>
  <c r="E35" i="9"/>
  <c r="E31" i="9"/>
  <c r="F31" i="9" s="1"/>
  <c r="E33" i="9"/>
  <c r="E39" i="9"/>
  <c r="E40" i="9"/>
  <c r="G117" i="8"/>
  <c r="M110" i="8"/>
  <c r="U51" i="8"/>
  <c r="M103" i="8" s="1"/>
  <c r="M97" i="8"/>
  <c r="M126" i="8"/>
  <c r="M129" i="8"/>
  <c r="M117" i="8"/>
  <c r="M119" i="8"/>
  <c r="W20" i="40"/>
  <c r="N20" i="40"/>
  <c r="M114" i="8"/>
  <c r="M125" i="8"/>
  <c r="D32" i="9"/>
  <c r="C68" i="9"/>
  <c r="C53" i="9"/>
  <c r="C39" i="9"/>
  <c r="C67" i="9"/>
  <c r="C64" i="9"/>
  <c r="C60" i="9"/>
  <c r="C52" i="9"/>
  <c r="C48" i="9"/>
  <c r="C37" i="9"/>
  <c r="C40" i="9"/>
  <c r="C58" i="9"/>
  <c r="C45" i="9"/>
  <c r="C46" i="9"/>
  <c r="C62" i="9"/>
  <c r="C38" i="9"/>
  <c r="C42" i="9"/>
  <c r="C61" i="9"/>
  <c r="C65" i="9"/>
  <c r="C70" i="9"/>
  <c r="C50" i="9"/>
  <c r="C57" i="9"/>
  <c r="C56" i="9"/>
  <c r="C69" i="9"/>
  <c r="C51" i="9"/>
  <c r="C49" i="9"/>
  <c r="C41" i="9"/>
  <c r="C47" i="9"/>
  <c r="C55" i="9"/>
  <c r="C43" i="9"/>
  <c r="C54" i="9"/>
  <c r="C63" i="9"/>
  <c r="C66" i="9"/>
  <c r="C59" i="9"/>
  <c r="C44" i="9"/>
  <c r="D60" i="9"/>
  <c r="D50" i="9"/>
  <c r="D31" i="9"/>
  <c r="D41" i="9"/>
  <c r="D36" i="9"/>
  <c r="D66" i="9"/>
  <c r="D58" i="9"/>
  <c r="D64" i="9"/>
  <c r="D43" i="9"/>
  <c r="D65" i="9"/>
  <c r="D51" i="9"/>
  <c r="D47" i="9"/>
  <c r="D67" i="9"/>
  <c r="D55" i="9"/>
  <c r="D33" i="9"/>
  <c r="D68" i="9"/>
  <c r="D37" i="9"/>
  <c r="D59" i="9"/>
  <c r="D69" i="9"/>
  <c r="D34" i="9"/>
  <c r="D40" i="9"/>
  <c r="D42" i="9"/>
  <c r="D46" i="9"/>
  <c r="D61" i="9"/>
  <c r="D38" i="9"/>
  <c r="D49" i="9"/>
  <c r="D63" i="9"/>
  <c r="D39" i="9"/>
  <c r="D48" i="9"/>
  <c r="D35" i="9"/>
  <c r="D52" i="9"/>
  <c r="D62" i="9"/>
  <c r="D70" i="9"/>
  <c r="D45" i="9"/>
  <c r="D54" i="9"/>
  <c r="D57" i="9"/>
  <c r="D56" i="9"/>
  <c r="D44" i="9"/>
  <c r="G120" i="8"/>
  <c r="M131" i="8"/>
  <c r="O93" i="8"/>
  <c r="M122" i="8"/>
  <c r="O110" i="8"/>
  <c r="M48" i="8"/>
  <c r="S48" i="8"/>
  <c r="J100" i="8" s="1"/>
  <c r="G125" i="8"/>
  <c r="M124" i="8"/>
  <c r="M127" i="8"/>
  <c r="M115" i="8"/>
  <c r="M128" i="8"/>
  <c r="G113" i="8"/>
  <c r="U45" i="8"/>
  <c r="G102" i="8" s="1"/>
  <c r="G106" i="8"/>
  <c r="G126" i="8"/>
  <c r="G94" i="8"/>
  <c r="G122" i="8"/>
  <c r="G118" i="8"/>
  <c r="G128" i="8"/>
  <c r="G123" i="8"/>
  <c r="G112" i="8"/>
  <c r="G93" i="8"/>
  <c r="G130" i="8"/>
  <c r="G124" i="8"/>
  <c r="G110" i="8"/>
  <c r="G109" i="8"/>
  <c r="G108" i="8"/>
  <c r="G95" i="8"/>
  <c r="G121" i="8"/>
  <c r="G114" i="8"/>
  <c r="G119" i="8"/>
  <c r="G115" i="8"/>
  <c r="G127" i="8"/>
  <c r="G96" i="8"/>
  <c r="O120" i="8"/>
  <c r="U53" i="8"/>
  <c r="O103" i="8" s="1"/>
  <c r="O108" i="8"/>
  <c r="O94" i="8"/>
  <c r="O118" i="8"/>
  <c r="O115" i="8"/>
  <c r="O113" i="8"/>
  <c r="O130" i="8"/>
  <c r="O129" i="8"/>
  <c r="O95" i="8"/>
  <c r="O123" i="8"/>
  <c r="O119" i="8"/>
  <c r="O111" i="8"/>
  <c r="O117" i="8"/>
  <c r="O125" i="8"/>
  <c r="O107" i="8"/>
  <c r="O128" i="8"/>
  <c r="O104" i="8"/>
  <c r="O97" i="8"/>
  <c r="O122" i="8"/>
  <c r="O112" i="8"/>
  <c r="O109" i="8"/>
  <c r="M120" i="8"/>
  <c r="O121" i="8"/>
  <c r="M107" i="8"/>
  <c r="M111" i="8"/>
  <c r="O127" i="8"/>
  <c r="K96" i="8"/>
  <c r="M113" i="8"/>
  <c r="M52" i="8"/>
  <c r="S52" i="8"/>
  <c r="N101" i="8" s="1"/>
  <c r="G111" i="8"/>
  <c r="M46" i="8"/>
  <c r="S46" i="8"/>
  <c r="H100" i="8" s="1"/>
  <c r="M95" i="8"/>
  <c r="M130" i="8"/>
  <c r="R36" i="13"/>
  <c r="I106" i="8" l="1"/>
  <c r="K105" i="8"/>
  <c r="K106" i="8"/>
  <c r="M106" i="8"/>
  <c r="O106" i="8"/>
  <c r="I105" i="8"/>
  <c r="G105" i="8"/>
  <c r="O105" i="8"/>
  <c r="G104" i="8"/>
  <c r="I104" i="8"/>
  <c r="F40" i="9"/>
  <c r="G40" i="9" s="1"/>
  <c r="M105" i="8"/>
  <c r="F36" i="9"/>
  <c r="G36" i="9" s="1"/>
  <c r="F33" i="9"/>
  <c r="G33" i="9" s="1"/>
  <c r="M104" i="8"/>
  <c r="E41" i="9"/>
  <c r="E42" i="9" s="1"/>
  <c r="F42" i="9" s="1"/>
  <c r="G42" i="9" s="1"/>
  <c r="M40" i="9"/>
  <c r="M39" i="9"/>
  <c r="N39" i="9" s="1"/>
  <c r="F37" i="9"/>
  <c r="G37" i="9" s="1"/>
  <c r="M38" i="9"/>
  <c r="N38" i="9" s="1"/>
  <c r="U49" i="9"/>
  <c r="T49" i="9"/>
  <c r="I37" i="11"/>
  <c r="S50" i="9"/>
  <c r="V49" i="9"/>
  <c r="N48" i="8"/>
  <c r="J121" i="8" s="1"/>
  <c r="T48" i="8"/>
  <c r="J101" i="8" s="1"/>
  <c r="C29" i="9"/>
  <c r="X20" i="40"/>
  <c r="Y20" i="40" s="1"/>
  <c r="G14" i="22" s="1"/>
  <c r="O20" i="40"/>
  <c r="I103" i="8"/>
  <c r="N54" i="8"/>
  <c r="P92" i="8" s="1"/>
  <c r="T54" i="8"/>
  <c r="P102" i="8" s="1"/>
  <c r="F35" i="9"/>
  <c r="G35" i="9" s="1"/>
  <c r="Q100" i="8"/>
  <c r="F32" i="9"/>
  <c r="G32" i="9" s="1"/>
  <c r="N52" i="8"/>
  <c r="N126" i="8" s="1"/>
  <c r="T52" i="8"/>
  <c r="N102" i="8" s="1"/>
  <c r="N46" i="8"/>
  <c r="H127" i="8" s="1"/>
  <c r="T46" i="8"/>
  <c r="H101" i="8" s="1"/>
  <c r="F39" i="9"/>
  <c r="G39" i="9" s="1"/>
  <c r="F38" i="9"/>
  <c r="G38" i="9" s="1"/>
  <c r="E91" i="8"/>
  <c r="AJ114" i="8"/>
  <c r="AB115" i="8"/>
  <c r="AD114" i="8"/>
  <c r="AG114" i="8"/>
  <c r="AF114" i="8"/>
  <c r="AI114" i="8"/>
  <c r="AH114" i="8"/>
  <c r="AC114" i="8"/>
  <c r="AE114" i="8"/>
  <c r="AK114" i="8"/>
  <c r="H37" i="9"/>
  <c r="D29" i="9"/>
  <c r="G31" i="9"/>
  <c r="F34" i="9"/>
  <c r="G34" i="9" s="1"/>
  <c r="G103" i="8"/>
  <c r="N50" i="8"/>
  <c r="T50" i="8"/>
  <c r="L101" i="8" s="1"/>
  <c r="R37" i="13"/>
  <c r="H99" i="8" l="1"/>
  <c r="J39" i="9"/>
  <c r="Z39" i="9" s="1"/>
  <c r="I19" i="10" s="1"/>
  <c r="K19" i="10" s="1"/>
  <c r="J35" i="9"/>
  <c r="Z35" i="9" s="1"/>
  <c r="I15" i="10" s="1"/>
  <c r="K15" i="10" s="1"/>
  <c r="F23" i="11"/>
  <c r="J38" i="9"/>
  <c r="Z38" i="9" s="1"/>
  <c r="I18" i="10" s="1"/>
  <c r="K18" i="10" s="1"/>
  <c r="J34" i="9"/>
  <c r="Z34" i="9" s="1"/>
  <c r="I14" i="10" s="1"/>
  <c r="K14" i="10" s="1"/>
  <c r="F22" i="11"/>
  <c r="J31" i="9"/>
  <c r="P31" i="9" s="1"/>
  <c r="F19" i="11"/>
  <c r="B25" i="11"/>
  <c r="J37" i="9"/>
  <c r="Z37" i="9" s="1"/>
  <c r="I17" i="10" s="1"/>
  <c r="K17" i="10" s="1"/>
  <c r="F25" i="11"/>
  <c r="J42" i="9"/>
  <c r="Z42" i="9" s="1"/>
  <c r="I22" i="10" s="1"/>
  <c r="K22" i="10" s="1"/>
  <c r="J36" i="9"/>
  <c r="Z36" i="9" s="1"/>
  <c r="I16" i="10" s="1"/>
  <c r="K16" i="10" s="1"/>
  <c r="F24" i="11"/>
  <c r="J40" i="9"/>
  <c r="Z40" i="9" s="1"/>
  <c r="I20" i="10" s="1"/>
  <c r="K20" i="10" s="1"/>
  <c r="J33" i="9"/>
  <c r="Z33" i="9" s="1"/>
  <c r="I13" i="10" s="1"/>
  <c r="K13" i="10" s="1"/>
  <c r="F21" i="11"/>
  <c r="J32" i="9"/>
  <c r="Z32" i="9" s="1"/>
  <c r="I12" i="10" s="1"/>
  <c r="K12" i="10" s="1"/>
  <c r="F20" i="11"/>
  <c r="J99" i="8"/>
  <c r="K91" i="8"/>
  <c r="N114" i="8"/>
  <c r="J128" i="8"/>
  <c r="J111" i="8"/>
  <c r="J95" i="8"/>
  <c r="M41" i="9"/>
  <c r="D29" i="11" s="1"/>
  <c r="O91" i="8"/>
  <c r="J123" i="8"/>
  <c r="J108" i="8"/>
  <c r="F41" i="9"/>
  <c r="G41" i="9" s="1"/>
  <c r="J98" i="8"/>
  <c r="I91" i="8"/>
  <c r="L95" i="8"/>
  <c r="L98" i="8"/>
  <c r="P99" i="8"/>
  <c r="G91" i="8"/>
  <c r="H98" i="8"/>
  <c r="L99" i="8"/>
  <c r="N99" i="8"/>
  <c r="J130" i="8"/>
  <c r="J124" i="8"/>
  <c r="L103" i="8"/>
  <c r="J93" i="8"/>
  <c r="J112" i="8"/>
  <c r="H123" i="8"/>
  <c r="J125" i="8"/>
  <c r="J110" i="8"/>
  <c r="H126" i="8"/>
  <c r="H122" i="8"/>
  <c r="H111" i="8"/>
  <c r="H95" i="8"/>
  <c r="P127" i="8"/>
  <c r="M91" i="8"/>
  <c r="P120" i="8"/>
  <c r="N115" i="8"/>
  <c r="J107" i="8"/>
  <c r="J97" i="8"/>
  <c r="J120" i="8"/>
  <c r="J92" i="8"/>
  <c r="H97" i="8"/>
  <c r="J122" i="8"/>
  <c r="J127" i="8"/>
  <c r="J117" i="8"/>
  <c r="J116" i="8"/>
  <c r="P98" i="8"/>
  <c r="N130" i="8"/>
  <c r="J109" i="8"/>
  <c r="J126" i="8"/>
  <c r="N98" i="8"/>
  <c r="D28" i="11"/>
  <c r="J118" i="8"/>
  <c r="L113" i="8"/>
  <c r="N40" i="9"/>
  <c r="E28" i="11" s="1"/>
  <c r="L128" i="8"/>
  <c r="J115" i="8"/>
  <c r="J113" i="8"/>
  <c r="H40" i="9"/>
  <c r="J119" i="8"/>
  <c r="D27" i="11"/>
  <c r="D26" i="11"/>
  <c r="J114" i="8"/>
  <c r="L129" i="8"/>
  <c r="L109" i="8"/>
  <c r="N110" i="8"/>
  <c r="N108" i="8"/>
  <c r="L112" i="8"/>
  <c r="N120" i="8"/>
  <c r="N111" i="8"/>
  <c r="L117" i="8"/>
  <c r="N96" i="8"/>
  <c r="N95" i="8"/>
  <c r="L92" i="8"/>
  <c r="L122" i="8"/>
  <c r="L116" i="8"/>
  <c r="L108" i="8"/>
  <c r="N124" i="8"/>
  <c r="N94" i="8"/>
  <c r="M42" i="9"/>
  <c r="H42" i="9" s="1"/>
  <c r="E43" i="9"/>
  <c r="Q101" i="8"/>
  <c r="Z101" i="8" s="1"/>
  <c r="L119" i="8"/>
  <c r="L96" i="8"/>
  <c r="N129" i="8"/>
  <c r="L125" i="8"/>
  <c r="H117" i="8"/>
  <c r="H39" i="9"/>
  <c r="P107" i="8"/>
  <c r="N119" i="8"/>
  <c r="B27" i="11"/>
  <c r="E27" i="11"/>
  <c r="C27" i="11"/>
  <c r="H115" i="8"/>
  <c r="H125" i="8"/>
  <c r="P115" i="8"/>
  <c r="P126" i="8"/>
  <c r="U48" i="8"/>
  <c r="J102" i="8" s="1"/>
  <c r="J96" i="8"/>
  <c r="J129" i="8"/>
  <c r="J131" i="8"/>
  <c r="J94" i="8"/>
  <c r="H93" i="8"/>
  <c r="AN100" i="8"/>
  <c r="H116" i="8"/>
  <c r="P93" i="8"/>
  <c r="H92" i="8"/>
  <c r="P129" i="8"/>
  <c r="H113" i="8"/>
  <c r="B23" i="11"/>
  <c r="P125" i="8"/>
  <c r="P118" i="8"/>
  <c r="P112" i="8"/>
  <c r="H128" i="8"/>
  <c r="U46" i="8"/>
  <c r="H102" i="8" s="1"/>
  <c r="H130" i="8"/>
  <c r="H103" i="8"/>
  <c r="H120" i="8"/>
  <c r="N125" i="8"/>
  <c r="U52" i="8"/>
  <c r="N105" i="8" s="1"/>
  <c r="N123" i="8"/>
  <c r="N107" i="8"/>
  <c r="N131" i="8"/>
  <c r="N112" i="8"/>
  <c r="N93" i="8"/>
  <c r="N121" i="8"/>
  <c r="N109" i="8"/>
  <c r="N92" i="8"/>
  <c r="N97" i="8"/>
  <c r="N127" i="8"/>
  <c r="N118" i="8"/>
  <c r="N116" i="8"/>
  <c r="P20" i="40"/>
  <c r="C21" i="40" s="1"/>
  <c r="G14" i="16"/>
  <c r="P110" i="8"/>
  <c r="H108" i="8"/>
  <c r="H107" i="8"/>
  <c r="N117" i="8"/>
  <c r="H38" i="9"/>
  <c r="P95" i="8"/>
  <c r="P124" i="8"/>
  <c r="B21" i="11"/>
  <c r="B20" i="11"/>
  <c r="P121" i="8"/>
  <c r="U50" i="8"/>
  <c r="L102" i="8" s="1"/>
  <c r="L123" i="8"/>
  <c r="L120" i="8"/>
  <c r="L127" i="8"/>
  <c r="L118" i="8"/>
  <c r="L94" i="8"/>
  <c r="L107" i="8"/>
  <c r="L126" i="8"/>
  <c r="L93" i="8"/>
  <c r="L97" i="8"/>
  <c r="L130" i="8"/>
  <c r="L110" i="8"/>
  <c r="L111" i="8"/>
  <c r="L121" i="8"/>
  <c r="L131" i="8"/>
  <c r="H129" i="8"/>
  <c r="H109" i="8"/>
  <c r="N128" i="8"/>
  <c r="L124" i="8"/>
  <c r="P108" i="8"/>
  <c r="P119" i="8"/>
  <c r="H131" i="8"/>
  <c r="B22" i="11"/>
  <c r="P122" i="8"/>
  <c r="P116" i="8"/>
  <c r="P130" i="8"/>
  <c r="AJ115" i="8"/>
  <c r="AD115" i="8"/>
  <c r="AC115" i="8"/>
  <c r="AK115" i="8"/>
  <c r="AG115" i="8"/>
  <c r="AB116" i="8"/>
  <c r="AI115" i="8"/>
  <c r="AE115" i="8"/>
  <c r="AF115" i="8"/>
  <c r="AH115" i="8"/>
  <c r="H94" i="8"/>
  <c r="P113" i="8"/>
  <c r="H110" i="8"/>
  <c r="P123" i="8"/>
  <c r="L114" i="8"/>
  <c r="U54" i="8"/>
  <c r="P103" i="8" s="1"/>
  <c r="P114" i="8"/>
  <c r="P117" i="8"/>
  <c r="P131" i="8"/>
  <c r="P97" i="8"/>
  <c r="P109" i="8"/>
  <c r="B24" i="11"/>
  <c r="P111" i="8"/>
  <c r="B19" i="11"/>
  <c r="H119" i="8"/>
  <c r="H121" i="8"/>
  <c r="H112" i="8"/>
  <c r="P94" i="8"/>
  <c r="H124" i="8"/>
  <c r="L115" i="8"/>
  <c r="H96" i="8"/>
  <c r="N113" i="8"/>
  <c r="H114" i="8"/>
  <c r="H118" i="8"/>
  <c r="N122" i="8"/>
  <c r="C26" i="11"/>
  <c r="E26" i="11"/>
  <c r="B26" i="11"/>
  <c r="P96" i="8"/>
  <c r="P128" i="8"/>
  <c r="T50" i="9"/>
  <c r="S51" i="9"/>
  <c r="V50" i="9"/>
  <c r="U50" i="9"/>
  <c r="I38" i="11"/>
  <c r="R38" i="13"/>
  <c r="P33" i="9" l="1"/>
  <c r="Q33" i="9" s="1"/>
  <c r="Y33" i="9" s="1"/>
  <c r="E13" i="10" s="1"/>
  <c r="H13" i="10" s="1"/>
  <c r="P32" i="9"/>
  <c r="Q32" i="9" s="1"/>
  <c r="Y32" i="9" s="1"/>
  <c r="E12" i="10" s="1"/>
  <c r="H12" i="10" s="1"/>
  <c r="P35" i="9"/>
  <c r="X35" i="9" s="1"/>
  <c r="B15" i="10" s="1"/>
  <c r="D15" i="10" s="1"/>
  <c r="P38" i="9"/>
  <c r="P34" i="9"/>
  <c r="X34" i="9" s="1"/>
  <c r="B14" i="10" s="1"/>
  <c r="D14" i="10" s="1"/>
  <c r="P36" i="9"/>
  <c r="Q36" i="9" s="1"/>
  <c r="Y36" i="9" s="1"/>
  <c r="E16" i="10" s="1"/>
  <c r="H16" i="10" s="1"/>
  <c r="P37" i="9"/>
  <c r="X37" i="9" s="1"/>
  <c r="B17" i="10" s="1"/>
  <c r="D17" i="10" s="1"/>
  <c r="P40" i="9"/>
  <c r="Q40" i="9" s="1"/>
  <c r="Y40" i="9" s="1"/>
  <c r="E20" i="10" s="1"/>
  <c r="H20" i="10" s="1"/>
  <c r="P42" i="9"/>
  <c r="H106" i="8"/>
  <c r="P39" i="9"/>
  <c r="K38" i="9"/>
  <c r="F26" i="11" s="1"/>
  <c r="G26" i="11" s="1"/>
  <c r="K26" i="11" s="1"/>
  <c r="D23" i="12" s="1"/>
  <c r="G21" i="11"/>
  <c r="K21" i="11" s="1"/>
  <c r="D18" i="12" s="1"/>
  <c r="G23" i="11"/>
  <c r="K23" i="11" s="1"/>
  <c r="D20" i="12" s="1"/>
  <c r="G19" i="11"/>
  <c r="K19" i="11" s="1"/>
  <c r="D16" i="12" s="1"/>
  <c r="G20" i="11"/>
  <c r="S20" i="11" s="1"/>
  <c r="E13" i="13" s="1"/>
  <c r="J106" i="8"/>
  <c r="G24" i="11"/>
  <c r="K24" i="11" s="1"/>
  <c r="D21" i="12" s="1"/>
  <c r="G22" i="11"/>
  <c r="K22" i="11" s="1"/>
  <c r="D19" i="12" s="1"/>
  <c r="G25" i="11"/>
  <c r="K25" i="11" s="1"/>
  <c r="D22" i="12" s="1"/>
  <c r="K39" i="9"/>
  <c r="F27" i="11" s="1"/>
  <c r="G27" i="11" s="1"/>
  <c r="K27" i="11" s="1"/>
  <c r="D24" i="12" s="1"/>
  <c r="K40" i="9"/>
  <c r="F28" i="11" s="1"/>
  <c r="Z31" i="9"/>
  <c r="J41" i="9"/>
  <c r="Z41" i="9" s="1"/>
  <c r="I21" i="10" s="1"/>
  <c r="K21" i="10" s="1"/>
  <c r="L105" i="8"/>
  <c r="N41" i="9"/>
  <c r="E29" i="11" s="1"/>
  <c r="P106" i="8"/>
  <c r="J105" i="8"/>
  <c r="H41" i="9"/>
  <c r="H105" i="8"/>
  <c r="Q99" i="8"/>
  <c r="L106" i="8"/>
  <c r="AN101" i="8"/>
  <c r="AW101" i="8" s="1"/>
  <c r="C25" i="12" s="1"/>
  <c r="N106" i="8"/>
  <c r="Q111" i="8"/>
  <c r="Z111" i="8" s="1"/>
  <c r="Q126" i="8"/>
  <c r="Z126" i="8" s="1"/>
  <c r="B28" i="11"/>
  <c r="Q121" i="8"/>
  <c r="Z121" i="8" s="1"/>
  <c r="H104" i="8"/>
  <c r="Q117" i="8"/>
  <c r="Z117" i="8" s="1"/>
  <c r="Q98" i="8"/>
  <c r="P105" i="8"/>
  <c r="J104" i="8"/>
  <c r="L104" i="8"/>
  <c r="Q130" i="8"/>
  <c r="AN130" i="8" s="1"/>
  <c r="AW130" i="8" s="1"/>
  <c r="C54" i="12" s="1"/>
  <c r="Q97" i="8"/>
  <c r="AN97" i="8" s="1"/>
  <c r="AW97" i="8" s="1"/>
  <c r="C21" i="12" s="1"/>
  <c r="C28" i="11"/>
  <c r="Q95" i="8"/>
  <c r="Z95" i="8" s="1"/>
  <c r="AA95" i="8" s="1"/>
  <c r="Q93" i="8"/>
  <c r="AN93" i="8" s="1"/>
  <c r="AW93" i="8" s="1"/>
  <c r="C17" i="12" s="1"/>
  <c r="Q127" i="8"/>
  <c r="AN127" i="8" s="1"/>
  <c r="AW127" i="8" s="1"/>
  <c r="C51" i="12" s="1"/>
  <c r="Q123" i="8"/>
  <c r="Z123" i="8" s="1"/>
  <c r="Q124" i="8"/>
  <c r="Z124" i="8" s="1"/>
  <c r="Q94" i="8"/>
  <c r="Z94" i="8" s="1"/>
  <c r="AA94" i="8" s="1"/>
  <c r="M43" i="9"/>
  <c r="E44" i="9"/>
  <c r="F44" i="9" s="1"/>
  <c r="G44" i="9" s="1"/>
  <c r="Q122" i="8"/>
  <c r="Z122" i="8" s="1"/>
  <c r="F43" i="9"/>
  <c r="G43" i="9" s="1"/>
  <c r="K42" i="9"/>
  <c r="F30" i="11" s="1"/>
  <c r="D30" i="11"/>
  <c r="N42" i="9"/>
  <c r="Q131" i="8"/>
  <c r="AI116" i="8"/>
  <c r="AE116" i="8"/>
  <c r="AD116" i="8"/>
  <c r="AF116" i="8"/>
  <c r="AB117" i="8"/>
  <c r="AJ116" i="8"/>
  <c r="AH116" i="8"/>
  <c r="AG116" i="8"/>
  <c r="AK116" i="8"/>
  <c r="AC116" i="8"/>
  <c r="Q102" i="8"/>
  <c r="Q128" i="8"/>
  <c r="N103" i="8"/>
  <c r="N104" i="8"/>
  <c r="Q118" i="8"/>
  <c r="P104" i="8"/>
  <c r="Q107" i="8"/>
  <c r="Q125" i="8"/>
  <c r="Q116" i="8"/>
  <c r="Q108" i="8"/>
  <c r="Q112" i="8"/>
  <c r="Q115" i="8"/>
  <c r="L21" i="40"/>
  <c r="M21" i="40" s="1"/>
  <c r="N21" i="40" s="1"/>
  <c r="Q120" i="8"/>
  <c r="X31" i="9"/>
  <c r="B11" i="10" s="1"/>
  <c r="D11" i="10" s="1"/>
  <c r="Q31" i="9"/>
  <c r="Y31" i="9" s="1"/>
  <c r="E11" i="10" s="1"/>
  <c r="H11" i="10" s="1"/>
  <c r="J103" i="8"/>
  <c r="Q114" i="8"/>
  <c r="Q119" i="8"/>
  <c r="Q92" i="8"/>
  <c r="Q110" i="8"/>
  <c r="Q129" i="8"/>
  <c r="V51" i="9"/>
  <c r="T51" i="9"/>
  <c r="I39" i="11"/>
  <c r="U51" i="9"/>
  <c r="S52" i="9"/>
  <c r="Q96" i="8"/>
  <c r="Q109" i="8"/>
  <c r="Q113" i="8"/>
  <c r="R39" i="13"/>
  <c r="X33" i="9" l="1"/>
  <c r="B13" i="10" s="1"/>
  <c r="D13" i="10" s="1"/>
  <c r="L13" i="10" s="1"/>
  <c r="B18" i="12" s="1"/>
  <c r="X32" i="9"/>
  <c r="B12" i="10" s="1"/>
  <c r="D12" i="10" s="1"/>
  <c r="L12" i="10" s="1"/>
  <c r="B17" i="12" s="1"/>
  <c r="Q34" i="9"/>
  <c r="Y34" i="9" s="1"/>
  <c r="E14" i="10" s="1"/>
  <c r="H14" i="10" s="1"/>
  <c r="L14" i="10" s="1"/>
  <c r="B19" i="12" s="1"/>
  <c r="X38" i="9"/>
  <c r="B18" i="10" s="1"/>
  <c r="D18" i="10" s="1"/>
  <c r="Q38" i="9"/>
  <c r="Y38" i="9" s="1"/>
  <c r="E18" i="10" s="1"/>
  <c r="H18" i="10" s="1"/>
  <c r="Q35" i="9"/>
  <c r="Y35" i="9" s="1"/>
  <c r="E15" i="10" s="1"/>
  <c r="H15" i="10" s="1"/>
  <c r="L15" i="10" s="1"/>
  <c r="B20" i="12" s="1"/>
  <c r="Q37" i="9"/>
  <c r="Y37" i="9" s="1"/>
  <c r="E17" i="10" s="1"/>
  <c r="H17" i="10" s="1"/>
  <c r="L17" i="10" s="1"/>
  <c r="B22" i="12" s="1"/>
  <c r="X36" i="9"/>
  <c r="B16" i="10" s="1"/>
  <c r="D16" i="10" s="1"/>
  <c r="L16" i="10" s="1"/>
  <c r="B21" i="12" s="1"/>
  <c r="E21" i="12" s="1"/>
  <c r="X40" i="9"/>
  <c r="B20" i="10" s="1"/>
  <c r="D20" i="10" s="1"/>
  <c r="L20" i="10" s="1"/>
  <c r="B25" i="12" s="1"/>
  <c r="P41" i="9"/>
  <c r="X39" i="9"/>
  <c r="B19" i="10" s="1"/>
  <c r="D19" i="10" s="1"/>
  <c r="Q39" i="9"/>
  <c r="Y39" i="9" s="1"/>
  <c r="E19" i="10" s="1"/>
  <c r="H19" i="10" s="1"/>
  <c r="X42" i="9"/>
  <c r="B22" i="10" s="1"/>
  <c r="D22" i="10" s="1"/>
  <c r="Q42" i="9"/>
  <c r="Y42" i="9" s="1"/>
  <c r="E22" i="10" s="1"/>
  <c r="H22" i="10" s="1"/>
  <c r="S21" i="11"/>
  <c r="E14" i="13" s="1"/>
  <c r="S19" i="11"/>
  <c r="E12" i="13" s="1"/>
  <c r="S23" i="11"/>
  <c r="E16" i="13" s="1"/>
  <c r="K20" i="11"/>
  <c r="D17" i="12" s="1"/>
  <c r="S22" i="11"/>
  <c r="E15" i="13" s="1"/>
  <c r="J43" i="9"/>
  <c r="Z43" i="9" s="1"/>
  <c r="I23" i="10" s="1"/>
  <c r="K23" i="10" s="1"/>
  <c r="J44" i="9"/>
  <c r="Z44" i="9" s="1"/>
  <c r="I24" i="10" s="1"/>
  <c r="K24" i="10" s="1"/>
  <c r="K41" i="9"/>
  <c r="F29" i="11" s="1"/>
  <c r="I11" i="10"/>
  <c r="K11" i="10" s="1"/>
  <c r="L11" i="10" s="1"/>
  <c r="B16" i="12" s="1"/>
  <c r="C29" i="11"/>
  <c r="B29" i="11"/>
  <c r="Q105" i="8"/>
  <c r="AN105" i="8" s="1"/>
  <c r="AW105" i="8" s="1"/>
  <c r="C29" i="12" s="1"/>
  <c r="H91" i="8"/>
  <c r="Q106" i="8"/>
  <c r="Z106" i="8" s="1"/>
  <c r="L91" i="8"/>
  <c r="AN111" i="8"/>
  <c r="AW111" i="8" s="1"/>
  <c r="C35" i="12" s="1"/>
  <c r="AN99" i="8"/>
  <c r="P91" i="8"/>
  <c r="AN117" i="8"/>
  <c r="AW117" i="8" s="1"/>
  <c r="C41" i="12" s="1"/>
  <c r="AN94" i="8"/>
  <c r="AW94" i="8" s="1"/>
  <c r="C18" i="12" s="1"/>
  <c r="AN122" i="8"/>
  <c r="AW122" i="8" s="1"/>
  <c r="C46" i="12" s="1"/>
  <c r="Z93" i="8"/>
  <c r="AA93" i="8" s="1"/>
  <c r="AN121" i="8"/>
  <c r="AW121" i="8" s="1"/>
  <c r="C45" i="12" s="1"/>
  <c r="AN126" i="8"/>
  <c r="AW126" i="8" s="1"/>
  <c r="C50" i="12" s="1"/>
  <c r="G28" i="11"/>
  <c r="K28" i="11" s="1"/>
  <c r="D25" i="12" s="1"/>
  <c r="AN95" i="8"/>
  <c r="AW95" i="8" s="1"/>
  <c r="C19" i="12" s="1"/>
  <c r="N91" i="8"/>
  <c r="AN98" i="8"/>
  <c r="Q103" i="8"/>
  <c r="AN103" i="8" s="1"/>
  <c r="AW103" i="8" s="1"/>
  <c r="C27" i="12" s="1"/>
  <c r="AN124" i="8"/>
  <c r="AW124" i="8" s="1"/>
  <c r="C48" i="12" s="1"/>
  <c r="Z127" i="8"/>
  <c r="Z97" i="8"/>
  <c r="AA97" i="8" s="1"/>
  <c r="Z130" i="8"/>
  <c r="D31" i="11"/>
  <c r="N43" i="9"/>
  <c r="H43" i="9"/>
  <c r="C30" i="11"/>
  <c r="B30" i="11"/>
  <c r="E30" i="11"/>
  <c r="M44" i="9"/>
  <c r="E45" i="9"/>
  <c r="F45" i="9" s="1"/>
  <c r="G45" i="9" s="1"/>
  <c r="Q104" i="8"/>
  <c r="Z104" i="8" s="1"/>
  <c r="AN123" i="8"/>
  <c r="AW123" i="8" s="1"/>
  <c r="C47" i="12" s="1"/>
  <c r="Z110" i="8"/>
  <c r="AN110" i="8"/>
  <c r="AW110" i="8" s="1"/>
  <c r="C34" i="12" s="1"/>
  <c r="W21" i="40"/>
  <c r="Z125" i="8"/>
  <c r="AN125" i="8"/>
  <c r="AW125" i="8" s="1"/>
  <c r="C49" i="12" s="1"/>
  <c r="AE117" i="8"/>
  <c r="AK117" i="8"/>
  <c r="AD117" i="8"/>
  <c r="AF117" i="8"/>
  <c r="AH117" i="8"/>
  <c r="AI117" i="8"/>
  <c r="AB118" i="8"/>
  <c r="AG117" i="8"/>
  <c r="AJ117" i="8"/>
  <c r="AC117" i="8"/>
  <c r="Z119" i="8"/>
  <c r="AN119" i="8"/>
  <c r="AW119" i="8" s="1"/>
  <c r="C43" i="12" s="1"/>
  <c r="J91" i="8"/>
  <c r="Z109" i="8"/>
  <c r="AN109" i="8"/>
  <c r="AW109" i="8" s="1"/>
  <c r="C33" i="12" s="1"/>
  <c r="Z129" i="8"/>
  <c r="AN129" i="8"/>
  <c r="AW129" i="8" s="1"/>
  <c r="C53" i="12" s="1"/>
  <c r="O21" i="40"/>
  <c r="AN107" i="8"/>
  <c r="AW107" i="8" s="1"/>
  <c r="C31" i="12" s="1"/>
  <c r="Z107" i="8"/>
  <c r="AN131" i="8"/>
  <c r="AW131" i="8" s="1"/>
  <c r="C55" i="12" s="1"/>
  <c r="Z131" i="8"/>
  <c r="AN116" i="8"/>
  <c r="AW116" i="8" s="1"/>
  <c r="C40" i="12" s="1"/>
  <c r="Z116" i="8"/>
  <c r="Z108" i="8"/>
  <c r="AN108" i="8"/>
  <c r="AW108" i="8" s="1"/>
  <c r="C32" i="12" s="1"/>
  <c r="AN92" i="8"/>
  <c r="Z92" i="8"/>
  <c r="X21" i="40"/>
  <c r="AN114" i="8"/>
  <c r="AW114" i="8" s="1"/>
  <c r="C38" i="12" s="1"/>
  <c r="Z114" i="8"/>
  <c r="AN115" i="8"/>
  <c r="AW115" i="8" s="1"/>
  <c r="C39" i="12" s="1"/>
  <c r="Z115" i="8"/>
  <c r="AN128" i="8"/>
  <c r="AW128" i="8" s="1"/>
  <c r="C52" i="12" s="1"/>
  <c r="Z128" i="8"/>
  <c r="Z120" i="8"/>
  <c r="AN120" i="8"/>
  <c r="AW120" i="8" s="1"/>
  <c r="C44" i="12" s="1"/>
  <c r="AN113" i="8"/>
  <c r="AW113" i="8" s="1"/>
  <c r="C37" i="12" s="1"/>
  <c r="Z113" i="8"/>
  <c r="Z96" i="8"/>
  <c r="AA96" i="8" s="1"/>
  <c r="AN96" i="8"/>
  <c r="AW96" i="8" s="1"/>
  <c r="C20" i="12" s="1"/>
  <c r="I40" i="11"/>
  <c r="U52" i="9"/>
  <c r="T52" i="9"/>
  <c r="V52" i="9"/>
  <c r="S53" i="9"/>
  <c r="AN112" i="8"/>
  <c r="AW112" i="8" s="1"/>
  <c r="C36" i="12" s="1"/>
  <c r="Z112" i="8"/>
  <c r="AN118" i="8"/>
  <c r="AW118" i="8" s="1"/>
  <c r="C42" i="12" s="1"/>
  <c r="Z118" i="8"/>
  <c r="Z102" i="8"/>
  <c r="AN102" i="8"/>
  <c r="AW102" i="8" s="1"/>
  <c r="C26" i="12" s="1"/>
  <c r="R40" i="13"/>
  <c r="L19" i="10" l="1"/>
  <c r="B24" i="12" s="1"/>
  <c r="L18" i="10"/>
  <c r="B23" i="12" s="1"/>
  <c r="P43" i="9"/>
  <c r="Q43" i="9" s="1"/>
  <c r="Y43" i="9" s="1"/>
  <c r="E23" i="10" s="1"/>
  <c r="H23" i="10" s="1"/>
  <c r="E25" i="12"/>
  <c r="P44" i="9"/>
  <c r="L22" i="10"/>
  <c r="B27" i="12" s="1"/>
  <c r="X41" i="9"/>
  <c r="B21" i="10" s="1"/>
  <c r="D21" i="10" s="1"/>
  <c r="Q41" i="9"/>
  <c r="Y41" i="9" s="1"/>
  <c r="E21" i="10" s="1"/>
  <c r="H21" i="10" s="1"/>
  <c r="E17" i="12"/>
  <c r="K43" i="9"/>
  <c r="F31" i="11" s="1"/>
  <c r="J45" i="9"/>
  <c r="Z45" i="9" s="1"/>
  <c r="G29" i="11"/>
  <c r="K29" i="11" s="1"/>
  <c r="D26" i="12" s="1"/>
  <c r="Z105" i="8"/>
  <c r="AN106" i="8"/>
  <c r="AW106" i="8" s="1"/>
  <c r="C30" i="12" s="1"/>
  <c r="E18" i="12"/>
  <c r="E19" i="12"/>
  <c r="Z103" i="8"/>
  <c r="E46" i="9"/>
  <c r="F46" i="9" s="1"/>
  <c r="G46" i="9" s="1"/>
  <c r="M45" i="9"/>
  <c r="AN104" i="8"/>
  <c r="AW104" i="8" s="1"/>
  <c r="C28" i="12" s="1"/>
  <c r="K44" i="9"/>
  <c r="F32" i="11" s="1"/>
  <c r="D32" i="11"/>
  <c r="N44" i="9"/>
  <c r="H44" i="9"/>
  <c r="Q91" i="8"/>
  <c r="G30" i="11"/>
  <c r="K30" i="11" s="1"/>
  <c r="D27" i="12" s="1"/>
  <c r="B31" i="11"/>
  <c r="C31" i="11"/>
  <c r="E31" i="11"/>
  <c r="E20" i="12"/>
  <c r="I41" i="11"/>
  <c r="T53" i="9"/>
  <c r="S54" i="9"/>
  <c r="V53" i="9"/>
  <c r="U53" i="9"/>
  <c r="Y21" i="40"/>
  <c r="AA92" i="8"/>
  <c r="AG118" i="8"/>
  <c r="AI118" i="8"/>
  <c r="AB119" i="8"/>
  <c r="AC118" i="8"/>
  <c r="AE118" i="8"/>
  <c r="AJ118" i="8"/>
  <c r="AD118" i="8"/>
  <c r="AK118" i="8"/>
  <c r="AF118" i="8"/>
  <c r="AH118" i="8"/>
  <c r="AW92" i="8"/>
  <c r="G15" i="16"/>
  <c r="P21" i="40"/>
  <c r="C22" i="40" s="1"/>
  <c r="R41" i="13"/>
  <c r="X43" i="9" l="1"/>
  <c r="B23" i="10" s="1"/>
  <c r="D23" i="10" s="1"/>
  <c r="L23" i="10" s="1"/>
  <c r="B28" i="12" s="1"/>
  <c r="L21" i="10"/>
  <c r="B26" i="12" s="1"/>
  <c r="E26" i="12" s="1"/>
  <c r="P45" i="9"/>
  <c r="X45" i="9" s="1"/>
  <c r="B25" i="10" s="1"/>
  <c r="D25" i="10" s="1"/>
  <c r="X44" i="9"/>
  <c r="B24" i="10" s="1"/>
  <c r="D24" i="10" s="1"/>
  <c r="Q44" i="9"/>
  <c r="Y44" i="9" s="1"/>
  <c r="E24" i="10" s="1"/>
  <c r="H24" i="10" s="1"/>
  <c r="E27" i="12"/>
  <c r="I25" i="10"/>
  <c r="K25" i="10" s="1"/>
  <c r="J46" i="9"/>
  <c r="Z46" i="9" s="1"/>
  <c r="I26" i="10" s="1"/>
  <c r="K26" i="10" s="1"/>
  <c r="AN91" i="8"/>
  <c r="G31" i="11"/>
  <c r="K31" i="11" s="1"/>
  <c r="D28" i="12" s="1"/>
  <c r="B32" i="11"/>
  <c r="E32" i="11"/>
  <c r="C32" i="11"/>
  <c r="N45" i="9"/>
  <c r="H45" i="9"/>
  <c r="K45" i="9"/>
  <c r="F33" i="11" s="1"/>
  <c r="D33" i="11"/>
  <c r="E47" i="9"/>
  <c r="M46" i="9"/>
  <c r="G15" i="22"/>
  <c r="L22" i="40"/>
  <c r="AD119" i="8"/>
  <c r="AK119" i="8"/>
  <c r="AB120" i="8"/>
  <c r="AF119" i="8"/>
  <c r="AC119" i="8"/>
  <c r="AH119" i="8"/>
  <c r="AI119" i="8"/>
  <c r="AG119" i="8"/>
  <c r="AJ119" i="8"/>
  <c r="AE119" i="8"/>
  <c r="C16" i="12"/>
  <c r="S55" i="9"/>
  <c r="T54" i="9"/>
  <c r="I42" i="11"/>
  <c r="V54" i="9"/>
  <c r="U54" i="9"/>
  <c r="R42" i="13"/>
  <c r="E28" i="12" l="1"/>
  <c r="Q45" i="9"/>
  <c r="Y45" i="9" s="1"/>
  <c r="E25" i="10" s="1"/>
  <c r="H25" i="10" s="1"/>
  <c r="L25" i="10" s="1"/>
  <c r="B30" i="12" s="1"/>
  <c r="L24" i="10"/>
  <c r="B29" i="12" s="1"/>
  <c r="P46" i="9"/>
  <c r="E33" i="11"/>
  <c r="B33" i="11"/>
  <c r="C33" i="11"/>
  <c r="M47" i="9"/>
  <c r="E48" i="9"/>
  <c r="F48" i="9" s="1"/>
  <c r="G48" i="9" s="1"/>
  <c r="N46" i="9"/>
  <c r="D34" i="11"/>
  <c r="K46" i="9"/>
  <c r="F34" i="11" s="1"/>
  <c r="H46" i="9"/>
  <c r="F47" i="9"/>
  <c r="G47" i="9" s="1"/>
  <c r="G32" i="11"/>
  <c r="K32" i="11" s="1"/>
  <c r="D29" i="12" s="1"/>
  <c r="V55" i="9"/>
  <c r="U55" i="9"/>
  <c r="T55" i="9"/>
  <c r="S56" i="9"/>
  <c r="I43" i="11"/>
  <c r="L15" i="40"/>
  <c r="M22" i="40"/>
  <c r="AB121" i="8"/>
  <c r="AE120" i="8"/>
  <c r="AK120" i="8"/>
  <c r="AH120" i="8"/>
  <c r="AC120" i="8"/>
  <c r="AJ120" i="8"/>
  <c r="AD120" i="8"/>
  <c r="AF120" i="8"/>
  <c r="AI120" i="8"/>
  <c r="AG120" i="8"/>
  <c r="E16" i="12"/>
  <c r="F16" i="12" s="1"/>
  <c r="F17" i="12" s="1"/>
  <c r="F18" i="12" s="1"/>
  <c r="F19" i="12" s="1"/>
  <c r="F20" i="12" s="1"/>
  <c r="F21" i="12" s="1"/>
  <c r="R43" i="13"/>
  <c r="E29" i="12" l="1"/>
  <c r="X46" i="9"/>
  <c r="B26" i="10" s="1"/>
  <c r="D26" i="10" s="1"/>
  <c r="Q46" i="9"/>
  <c r="Y46" i="9" s="1"/>
  <c r="E26" i="10" s="1"/>
  <c r="H26" i="10" s="1"/>
  <c r="J47" i="9"/>
  <c r="Z47" i="9" s="1"/>
  <c r="J48" i="9"/>
  <c r="Z48" i="9" s="1"/>
  <c r="I28" i="10" s="1"/>
  <c r="K28" i="10" s="1"/>
  <c r="C34" i="11"/>
  <c r="E34" i="11"/>
  <c r="B34" i="11"/>
  <c r="E49" i="9"/>
  <c r="F49" i="9" s="1"/>
  <c r="G49" i="9" s="1"/>
  <c r="M48" i="9"/>
  <c r="G33" i="11"/>
  <c r="K33" i="11" s="1"/>
  <c r="D30" i="12" s="1"/>
  <c r="E30" i="12" s="1"/>
  <c r="D35" i="11"/>
  <c r="H47" i="9"/>
  <c r="N47" i="9"/>
  <c r="T56" i="9"/>
  <c r="I44" i="11"/>
  <c r="V56" i="9"/>
  <c r="S57" i="9"/>
  <c r="U56" i="9"/>
  <c r="AF121" i="8"/>
  <c r="AC121" i="8"/>
  <c r="AE121" i="8"/>
  <c r="AK121" i="8"/>
  <c r="AD121" i="8"/>
  <c r="AH121" i="8"/>
  <c r="AI121" i="8"/>
  <c r="AG121" i="8"/>
  <c r="AJ121" i="8"/>
  <c r="AB122" i="8"/>
  <c r="W22" i="40"/>
  <c r="M15" i="40"/>
  <c r="N22" i="40"/>
  <c r="R44" i="13"/>
  <c r="L26" i="10" l="1"/>
  <c r="B31" i="12" s="1"/>
  <c r="P48" i="9"/>
  <c r="P47" i="9"/>
  <c r="K47" i="9"/>
  <c r="F35" i="11" s="1"/>
  <c r="J49" i="9"/>
  <c r="Z49" i="9" s="1"/>
  <c r="I29" i="10" s="1"/>
  <c r="K29" i="10" s="1"/>
  <c r="I27" i="10"/>
  <c r="K27" i="10" s="1"/>
  <c r="E50" i="9"/>
  <c r="F50" i="9" s="1"/>
  <c r="G50" i="9" s="1"/>
  <c r="M49" i="9"/>
  <c r="K48" i="9"/>
  <c r="F36" i="11" s="1"/>
  <c r="D36" i="11"/>
  <c r="N48" i="9"/>
  <c r="H48" i="9"/>
  <c r="G34" i="11"/>
  <c r="K34" i="11" s="1"/>
  <c r="D31" i="12" s="1"/>
  <c r="C35" i="11"/>
  <c r="E35" i="11"/>
  <c r="B35" i="11"/>
  <c r="W15" i="40"/>
  <c r="AI122" i="8"/>
  <c r="AB123" i="8"/>
  <c r="AD122" i="8"/>
  <c r="AH122" i="8"/>
  <c r="AE122" i="8"/>
  <c r="AF122" i="8"/>
  <c r="AJ122" i="8"/>
  <c r="AK122" i="8"/>
  <c r="AG122" i="8"/>
  <c r="AC122" i="8"/>
  <c r="X22" i="40"/>
  <c r="X15" i="40" s="1"/>
  <c r="N15" i="40"/>
  <c r="O15" i="40" s="1"/>
  <c r="V57" i="9"/>
  <c r="T57" i="9"/>
  <c r="S58" i="9"/>
  <c r="U57" i="9"/>
  <c r="I45" i="11"/>
  <c r="O22" i="40"/>
  <c r="R45" i="13"/>
  <c r="E31" i="12" l="1"/>
  <c r="P49" i="9"/>
  <c r="X49" i="9" s="1"/>
  <c r="B29" i="10" s="1"/>
  <c r="D29" i="10" s="1"/>
  <c r="X47" i="9"/>
  <c r="B27" i="10" s="1"/>
  <c r="D27" i="10" s="1"/>
  <c r="Q47" i="9"/>
  <c r="Y47" i="9" s="1"/>
  <c r="E27" i="10" s="1"/>
  <c r="H27" i="10" s="1"/>
  <c r="X48" i="9"/>
  <c r="B28" i="10" s="1"/>
  <c r="D28" i="10" s="1"/>
  <c r="Q48" i="9"/>
  <c r="Y48" i="9" s="1"/>
  <c r="E28" i="10" s="1"/>
  <c r="H28" i="10" s="1"/>
  <c r="J50" i="9"/>
  <c r="Z50" i="9" s="1"/>
  <c r="I30" i="10" s="1"/>
  <c r="K30" i="10" s="1"/>
  <c r="G35" i="11"/>
  <c r="K35" i="11" s="1"/>
  <c r="D32" i="12" s="1"/>
  <c r="B36" i="11"/>
  <c r="C36" i="11"/>
  <c r="E36" i="11"/>
  <c r="H49" i="9"/>
  <c r="N49" i="9"/>
  <c r="D37" i="11"/>
  <c r="K49" i="9"/>
  <c r="F37" i="11" s="1"/>
  <c r="E51" i="9"/>
  <c r="F51" i="9" s="1"/>
  <c r="G51" i="9" s="1"/>
  <c r="M50" i="9"/>
  <c r="AH123" i="8"/>
  <c r="AJ123" i="8"/>
  <c r="AB124" i="8"/>
  <c r="AC123" i="8"/>
  <c r="AG123" i="8"/>
  <c r="AF123" i="8"/>
  <c r="AD123" i="8"/>
  <c r="AI123" i="8"/>
  <c r="AK123" i="8"/>
  <c r="AE123" i="8"/>
  <c r="I46" i="11"/>
  <c r="S59" i="9"/>
  <c r="V58" i="9"/>
  <c r="T58" i="9"/>
  <c r="U58" i="9"/>
  <c r="Y22" i="40"/>
  <c r="G16" i="16"/>
  <c r="G7" i="16" s="1"/>
  <c r="M12" i="5" a="1"/>
  <c r="P22" i="40"/>
  <c r="R46" i="13"/>
  <c r="Q49" i="9" l="1"/>
  <c r="Y49" i="9" s="1"/>
  <c r="E29" i="10" s="1"/>
  <c r="H29" i="10" s="1"/>
  <c r="L29" i="10" s="1"/>
  <c r="B34" i="12" s="1"/>
  <c r="P50" i="9"/>
  <c r="X50" i="9" s="1"/>
  <c r="B30" i="10" s="1"/>
  <c r="D30" i="10" s="1"/>
  <c r="L27" i="10"/>
  <c r="B32" i="12" s="1"/>
  <c r="E32" i="12" s="1"/>
  <c r="L28" i="10"/>
  <c r="B33" i="12" s="1"/>
  <c r="J51" i="9"/>
  <c r="Z51" i="9" s="1"/>
  <c r="I31" i="10" s="1"/>
  <c r="K31" i="10" s="1"/>
  <c r="M51" i="9"/>
  <c r="E52" i="9"/>
  <c r="F52" i="9" s="1"/>
  <c r="G52" i="9" s="1"/>
  <c r="C37" i="11"/>
  <c r="B37" i="11"/>
  <c r="E37" i="11"/>
  <c r="G36" i="11"/>
  <c r="K36" i="11" s="1"/>
  <c r="D33" i="12" s="1"/>
  <c r="N50" i="9"/>
  <c r="K50" i="9"/>
  <c r="F38" i="11" s="1"/>
  <c r="D38" i="11"/>
  <c r="H50" i="9"/>
  <c r="O12" i="5"/>
  <c r="T12" i="5"/>
  <c r="N12" i="5"/>
  <c r="Q12" i="5"/>
  <c r="R12" i="5"/>
  <c r="M12" i="5"/>
  <c r="P12" i="5"/>
  <c r="S12" i="5"/>
  <c r="AG124" i="8"/>
  <c r="AE124" i="8"/>
  <c r="AK124" i="8"/>
  <c r="AH124" i="8"/>
  <c r="AD124" i="8"/>
  <c r="AB125" i="8"/>
  <c r="AI124" i="8"/>
  <c r="AC124" i="8"/>
  <c r="AF124" i="8"/>
  <c r="AJ124" i="8"/>
  <c r="T59" i="9"/>
  <c r="U59" i="9"/>
  <c r="V59" i="9"/>
  <c r="I47" i="11"/>
  <c r="S60" i="9"/>
  <c r="G16" i="22"/>
  <c r="G7" i="22" s="1"/>
  <c r="Y15" i="40"/>
  <c r="J12" i="5" s="1"/>
  <c r="R47" i="13"/>
  <c r="Q50" i="9" l="1"/>
  <c r="Y50" i="9" s="1"/>
  <c r="E30" i="10" s="1"/>
  <c r="H30" i="10" s="1"/>
  <c r="L30" i="10" s="1"/>
  <c r="B35" i="12" s="1"/>
  <c r="E33" i="12"/>
  <c r="P51" i="9"/>
  <c r="J52" i="9"/>
  <c r="Z52" i="9" s="1"/>
  <c r="I32" i="10" s="1"/>
  <c r="K32" i="10" s="1"/>
  <c r="M52" i="9"/>
  <c r="E53" i="9"/>
  <c r="C38" i="11"/>
  <c r="E38" i="11"/>
  <c r="B38" i="11"/>
  <c r="G37" i="11"/>
  <c r="K37" i="11" s="1"/>
  <c r="D34" i="12" s="1"/>
  <c r="E34" i="12" s="1"/>
  <c r="N51" i="9"/>
  <c r="D39" i="11"/>
  <c r="K51" i="9"/>
  <c r="F39" i="11" s="1"/>
  <c r="H51" i="9"/>
  <c r="T60" i="9"/>
  <c r="U60" i="9"/>
  <c r="V60" i="9"/>
  <c r="I48" i="11"/>
  <c r="S61" i="9"/>
  <c r="AG125" i="8"/>
  <c r="AB126" i="8"/>
  <c r="AK125" i="8"/>
  <c r="AD125" i="8"/>
  <c r="AF125" i="8"/>
  <c r="AJ125" i="8"/>
  <c r="AE125" i="8"/>
  <c r="AI125" i="8"/>
  <c r="AC125" i="8"/>
  <c r="AH125" i="8"/>
  <c r="G12" i="5"/>
  <c r="R48" i="13"/>
  <c r="P52" i="9" l="1"/>
  <c r="X51" i="9"/>
  <c r="B31" i="10" s="1"/>
  <c r="D31" i="10" s="1"/>
  <c r="Q51" i="9"/>
  <c r="Y51" i="9" s="1"/>
  <c r="E31" i="10" s="1"/>
  <c r="H31" i="10" s="1"/>
  <c r="C39" i="11"/>
  <c r="E39" i="11"/>
  <c r="B39" i="11"/>
  <c r="G38" i="11"/>
  <c r="K38" i="11" s="1"/>
  <c r="D35" i="12" s="1"/>
  <c r="E35" i="12" s="1"/>
  <c r="F53" i="9"/>
  <c r="G53" i="9" s="1"/>
  <c r="E54" i="9"/>
  <c r="M53" i="9"/>
  <c r="D40" i="11"/>
  <c r="N52" i="9"/>
  <c r="H52" i="9"/>
  <c r="K52" i="9"/>
  <c r="F40" i="11" s="1"/>
  <c r="U61" i="9"/>
  <c r="S62" i="9"/>
  <c r="T61" i="9"/>
  <c r="V61" i="9"/>
  <c r="I49" i="11"/>
  <c r="AD126" i="8"/>
  <c r="AH126" i="8"/>
  <c r="AF126" i="8"/>
  <c r="AE126" i="8"/>
  <c r="AG126" i="8"/>
  <c r="AI126" i="8"/>
  <c r="AJ126" i="8"/>
  <c r="AC126" i="8"/>
  <c r="AK126" i="8"/>
  <c r="AB127" i="8"/>
  <c r="R49" i="13"/>
  <c r="L31" i="10" l="1"/>
  <c r="B36" i="12" s="1"/>
  <c r="X52" i="9"/>
  <c r="B32" i="10" s="1"/>
  <c r="D32" i="10" s="1"/>
  <c r="Q52" i="9"/>
  <c r="Y52" i="9" s="1"/>
  <c r="E32" i="10" s="1"/>
  <c r="H32" i="10" s="1"/>
  <c r="J53" i="9"/>
  <c r="Z53" i="9" s="1"/>
  <c r="I33" i="10" s="1"/>
  <c r="K33" i="10" s="1"/>
  <c r="G39" i="11"/>
  <c r="K39" i="11" s="1"/>
  <c r="D36" i="12" s="1"/>
  <c r="E40" i="11"/>
  <c r="B40" i="11"/>
  <c r="C40" i="11"/>
  <c r="M54" i="9"/>
  <c r="E55" i="9"/>
  <c r="D41" i="11"/>
  <c r="N53" i="9"/>
  <c r="H53" i="9"/>
  <c r="F54" i="9"/>
  <c r="G54" i="9" s="1"/>
  <c r="I50" i="11"/>
  <c r="U62" i="9"/>
  <c r="S63" i="9"/>
  <c r="T62" i="9"/>
  <c r="V62" i="9"/>
  <c r="AG127" i="8"/>
  <c r="AE127" i="8"/>
  <c r="AK127" i="8"/>
  <c r="AI127" i="8"/>
  <c r="AF127" i="8"/>
  <c r="AC127" i="8"/>
  <c r="AJ127" i="8"/>
  <c r="AB128" i="8"/>
  <c r="AH127" i="8"/>
  <c r="AD127" i="8"/>
  <c r="R50" i="13"/>
  <c r="E36" i="12" l="1"/>
  <c r="L32" i="10"/>
  <c r="B37" i="12" s="1"/>
  <c r="K53" i="9"/>
  <c r="F41" i="11" s="1"/>
  <c r="P53" i="9"/>
  <c r="J54" i="9"/>
  <c r="Z54" i="9" s="1"/>
  <c r="I34" i="10" s="1"/>
  <c r="K34" i="10" s="1"/>
  <c r="B41" i="11"/>
  <c r="E41" i="11"/>
  <c r="C41" i="11"/>
  <c r="F55" i="9"/>
  <c r="G55" i="9" s="1"/>
  <c r="E56" i="9"/>
  <c r="F56" i="9" s="1"/>
  <c r="G56" i="9" s="1"/>
  <c r="M55" i="9"/>
  <c r="H54" i="9"/>
  <c r="D42" i="11"/>
  <c r="N54" i="9"/>
  <c r="G40" i="11"/>
  <c r="K40" i="11" s="1"/>
  <c r="D37" i="12" s="1"/>
  <c r="I51" i="11"/>
  <c r="T63" i="9"/>
  <c r="V63" i="9"/>
  <c r="S64" i="9"/>
  <c r="U63" i="9"/>
  <c r="AK128" i="8"/>
  <c r="AC128" i="8"/>
  <c r="AD128" i="8"/>
  <c r="AF128" i="8"/>
  <c r="AI128" i="8"/>
  <c r="AE128" i="8"/>
  <c r="AG128" i="8"/>
  <c r="AJ128" i="8"/>
  <c r="AH128" i="8"/>
  <c r="AB129" i="8"/>
  <c r="R51" i="13"/>
  <c r="K54" i="9" l="1"/>
  <c r="F42" i="11" s="1"/>
  <c r="E37" i="12"/>
  <c r="P54" i="9"/>
  <c r="X53" i="9"/>
  <c r="B33" i="10" s="1"/>
  <c r="D33" i="10" s="1"/>
  <c r="Q53" i="9"/>
  <c r="Y53" i="9" s="1"/>
  <c r="E33" i="10" s="1"/>
  <c r="H33" i="10" s="1"/>
  <c r="J55" i="9"/>
  <c r="Z55" i="9" s="1"/>
  <c r="I35" i="10" s="1"/>
  <c r="K35" i="10" s="1"/>
  <c r="J56" i="9"/>
  <c r="Z56" i="9" s="1"/>
  <c r="I36" i="10" s="1"/>
  <c r="K36" i="10" s="1"/>
  <c r="D43" i="11"/>
  <c r="H55" i="9"/>
  <c r="N55" i="9"/>
  <c r="M56" i="9"/>
  <c r="E57" i="9"/>
  <c r="F57" i="9" s="1"/>
  <c r="G57" i="9" s="1"/>
  <c r="B42" i="11"/>
  <c r="C42" i="11"/>
  <c r="E42" i="11"/>
  <c r="G41" i="11"/>
  <c r="K41" i="11" s="1"/>
  <c r="D38" i="12" s="1"/>
  <c r="T64" i="9"/>
  <c r="I52" i="11"/>
  <c r="V64" i="9"/>
  <c r="S65" i="9"/>
  <c r="U64" i="9"/>
  <c r="AI129" i="8"/>
  <c r="AG129" i="8"/>
  <c r="AF129" i="8"/>
  <c r="AK129" i="8"/>
  <c r="AE129" i="8"/>
  <c r="AC129" i="8"/>
  <c r="AH129" i="8"/>
  <c r="AD129" i="8"/>
  <c r="AB130" i="8"/>
  <c r="AJ129" i="8"/>
  <c r="L33" i="10" l="1"/>
  <c r="B38" i="12" s="1"/>
  <c r="E38" i="12" s="1"/>
  <c r="K55" i="9"/>
  <c r="F43" i="11" s="1"/>
  <c r="P56" i="9"/>
  <c r="P55" i="9"/>
  <c r="X54" i="9"/>
  <c r="B34" i="10" s="1"/>
  <c r="D34" i="10" s="1"/>
  <c r="Q54" i="9"/>
  <c r="Y54" i="9" s="1"/>
  <c r="E34" i="10" s="1"/>
  <c r="H34" i="10" s="1"/>
  <c r="J57" i="9"/>
  <c r="Z57" i="9" s="1"/>
  <c r="I37" i="10" s="1"/>
  <c r="K37" i="10" s="1"/>
  <c r="M57" i="9"/>
  <c r="E58" i="9"/>
  <c r="F58" i="9" s="1"/>
  <c r="G58" i="9" s="1"/>
  <c r="H56" i="9"/>
  <c r="K56" i="9"/>
  <c r="F44" i="11" s="1"/>
  <c r="N56" i="9"/>
  <c r="D44" i="11"/>
  <c r="C43" i="11"/>
  <c r="E43" i="11"/>
  <c r="B43" i="11"/>
  <c r="G42" i="11"/>
  <c r="K42" i="11" s="1"/>
  <c r="D39" i="12" s="1"/>
  <c r="V65" i="9"/>
  <c r="T65" i="9"/>
  <c r="U65" i="9"/>
  <c r="I53" i="11"/>
  <c r="S66" i="9"/>
  <c r="AC130" i="8"/>
  <c r="AH130" i="8"/>
  <c r="AF130" i="8"/>
  <c r="AD130" i="8"/>
  <c r="AB131" i="8"/>
  <c r="AK130" i="8"/>
  <c r="AI130" i="8"/>
  <c r="AE130" i="8"/>
  <c r="AG130" i="8"/>
  <c r="AJ130" i="8"/>
  <c r="P57" i="9" l="1"/>
  <c r="L34" i="10"/>
  <c r="B39" i="12" s="1"/>
  <c r="E39" i="12" s="1"/>
  <c r="X55" i="9"/>
  <c r="B35" i="10" s="1"/>
  <c r="D35" i="10" s="1"/>
  <c r="Q55" i="9"/>
  <c r="Y55" i="9" s="1"/>
  <c r="E35" i="10" s="1"/>
  <c r="H35" i="10" s="1"/>
  <c r="X56" i="9"/>
  <c r="B36" i="10" s="1"/>
  <c r="D36" i="10" s="1"/>
  <c r="Q56" i="9"/>
  <c r="Y56" i="9" s="1"/>
  <c r="E36" i="10" s="1"/>
  <c r="H36" i="10" s="1"/>
  <c r="J58" i="9"/>
  <c r="Z58" i="9" s="1"/>
  <c r="I38" i="10" s="1"/>
  <c r="K38" i="10" s="1"/>
  <c r="G43" i="11"/>
  <c r="K43" i="11" s="1"/>
  <c r="D40" i="12" s="1"/>
  <c r="K57" i="9"/>
  <c r="F45" i="11" s="1"/>
  <c r="D45" i="11"/>
  <c r="H57" i="9"/>
  <c r="N57" i="9"/>
  <c r="E44" i="11"/>
  <c r="C44" i="11"/>
  <c r="B44" i="11"/>
  <c r="E59" i="9"/>
  <c r="M58" i="9"/>
  <c r="V66" i="9"/>
  <c r="S67" i="9"/>
  <c r="I54" i="11"/>
  <c r="T66" i="9"/>
  <c r="U66" i="9"/>
  <c r="AE131" i="8"/>
  <c r="AE91" i="8" s="1"/>
  <c r="AH131" i="8"/>
  <c r="AH91" i="8" s="1"/>
  <c r="AC131" i="8"/>
  <c r="AC91" i="8" s="1"/>
  <c r="AF131" i="8"/>
  <c r="AF91" i="8" s="1"/>
  <c r="AK131" i="8"/>
  <c r="AK91" i="8" s="1"/>
  <c r="AD131" i="8"/>
  <c r="AD91" i="8" s="1"/>
  <c r="AG131" i="8"/>
  <c r="AG91" i="8" s="1"/>
  <c r="AI131" i="8"/>
  <c r="AI91" i="8" s="1"/>
  <c r="AJ131" i="8"/>
  <c r="AJ91" i="8" s="1"/>
  <c r="L35" i="10" l="1"/>
  <c r="B40" i="12" s="1"/>
  <c r="E40" i="12" s="1"/>
  <c r="X57" i="9"/>
  <c r="B37" i="10" s="1"/>
  <c r="D37" i="10" s="1"/>
  <c r="Q57" i="9"/>
  <c r="Y57" i="9" s="1"/>
  <c r="E37" i="10" s="1"/>
  <c r="H37" i="10" s="1"/>
  <c r="P58" i="9"/>
  <c r="L36" i="10"/>
  <c r="B41" i="12" s="1"/>
  <c r="G44" i="11"/>
  <c r="K44" i="11" s="1"/>
  <c r="D41" i="12" s="1"/>
  <c r="K58" i="9"/>
  <c r="F46" i="11" s="1"/>
  <c r="H58" i="9"/>
  <c r="D46" i="11"/>
  <c r="N58" i="9"/>
  <c r="E45" i="11"/>
  <c r="B45" i="11"/>
  <c r="C45" i="11"/>
  <c r="F59" i="9"/>
  <c r="G59" i="9" s="1"/>
  <c r="E60" i="9"/>
  <c r="M59" i="9"/>
  <c r="T67" i="9"/>
  <c r="S68" i="9"/>
  <c r="I55" i="11"/>
  <c r="U67" i="9"/>
  <c r="V67" i="9"/>
  <c r="E41" i="12" l="1"/>
  <c r="L37" i="10"/>
  <c r="B42" i="12" s="1"/>
  <c r="X58" i="9"/>
  <c r="B38" i="10" s="1"/>
  <c r="D38" i="10" s="1"/>
  <c r="Q58" i="9"/>
  <c r="Y58" i="9" s="1"/>
  <c r="E38" i="10" s="1"/>
  <c r="H38" i="10" s="1"/>
  <c r="J59" i="9"/>
  <c r="Z59" i="9" s="1"/>
  <c r="I39" i="10" s="1"/>
  <c r="K39" i="10" s="1"/>
  <c r="M60" i="9"/>
  <c r="E61" i="9"/>
  <c r="F61" i="9" s="1"/>
  <c r="G61" i="9" s="1"/>
  <c r="G45" i="11"/>
  <c r="K45" i="11" s="1"/>
  <c r="D42" i="12" s="1"/>
  <c r="F60" i="9"/>
  <c r="G60" i="9" s="1"/>
  <c r="N59" i="9"/>
  <c r="H59" i="9"/>
  <c r="D47" i="11"/>
  <c r="E46" i="11"/>
  <c r="B46" i="11"/>
  <c r="C46" i="11"/>
  <c r="I56" i="11"/>
  <c r="U68" i="9"/>
  <c r="T68" i="9"/>
  <c r="S69" i="9"/>
  <c r="V68" i="9"/>
  <c r="E42" i="12" l="1"/>
  <c r="K59" i="9"/>
  <c r="F47" i="11" s="1"/>
  <c r="L38" i="10"/>
  <c r="B43" i="12" s="1"/>
  <c r="P59" i="9"/>
  <c r="J60" i="9"/>
  <c r="Z60" i="9" s="1"/>
  <c r="I40" i="10" s="1"/>
  <c r="K40" i="10" s="1"/>
  <c r="J61" i="9"/>
  <c r="Z61" i="9" s="1"/>
  <c r="I41" i="10" s="1"/>
  <c r="K41" i="10" s="1"/>
  <c r="E47" i="11"/>
  <c r="B47" i="11"/>
  <c r="C47" i="11"/>
  <c r="G46" i="11"/>
  <c r="K46" i="11" s="1"/>
  <c r="D43" i="12" s="1"/>
  <c r="M61" i="9"/>
  <c r="E62" i="9"/>
  <c r="N60" i="9"/>
  <c r="D48" i="11"/>
  <c r="H60" i="9"/>
  <c r="V69" i="9"/>
  <c r="I57" i="11"/>
  <c r="S70" i="9"/>
  <c r="T69" i="9"/>
  <c r="U69" i="9"/>
  <c r="E43" i="12" l="1"/>
  <c r="K60" i="9"/>
  <c r="F48" i="11" s="1"/>
  <c r="P61" i="9"/>
  <c r="P60" i="9"/>
  <c r="X59" i="9"/>
  <c r="B39" i="10" s="1"/>
  <c r="D39" i="10" s="1"/>
  <c r="Q59" i="9"/>
  <c r="Y59" i="9" s="1"/>
  <c r="E39" i="10" s="1"/>
  <c r="H39" i="10" s="1"/>
  <c r="D49" i="11"/>
  <c r="H61" i="9"/>
  <c r="N61" i="9"/>
  <c r="K61" i="9"/>
  <c r="F49" i="11" s="1"/>
  <c r="G47" i="11"/>
  <c r="K47" i="11" s="1"/>
  <c r="D44" i="12" s="1"/>
  <c r="E48" i="11"/>
  <c r="C48" i="11"/>
  <c r="B48" i="11"/>
  <c r="M62" i="9"/>
  <c r="E63" i="9"/>
  <c r="F63" i="9" s="1"/>
  <c r="G63" i="9" s="1"/>
  <c r="F62" i="9"/>
  <c r="G62" i="9" s="1"/>
  <c r="U70" i="9"/>
  <c r="U29" i="9" s="1"/>
  <c r="V70" i="9"/>
  <c r="V29" i="9" s="1"/>
  <c r="I58" i="11"/>
  <c r="I18" i="11" s="1"/>
  <c r="T70" i="9"/>
  <c r="T29" i="9" s="1"/>
  <c r="L39" i="10" l="1"/>
  <c r="B44" i="12" s="1"/>
  <c r="E44" i="12" s="1"/>
  <c r="X60" i="9"/>
  <c r="B40" i="10" s="1"/>
  <c r="D40" i="10" s="1"/>
  <c r="Q60" i="9"/>
  <c r="Y60" i="9" s="1"/>
  <c r="E40" i="10" s="1"/>
  <c r="H40" i="10" s="1"/>
  <c r="X61" i="9"/>
  <c r="B41" i="10" s="1"/>
  <c r="D41" i="10" s="1"/>
  <c r="Q61" i="9"/>
  <c r="Y61" i="9" s="1"/>
  <c r="E41" i="10" s="1"/>
  <c r="H41" i="10" s="1"/>
  <c r="J63" i="9"/>
  <c r="Z63" i="9" s="1"/>
  <c r="I43" i="10" s="1"/>
  <c r="K43" i="10" s="1"/>
  <c r="J62" i="9"/>
  <c r="Z62" i="9" s="1"/>
  <c r="I42" i="10" s="1"/>
  <c r="K42" i="10" s="1"/>
  <c r="G48" i="11"/>
  <c r="K48" i="11" s="1"/>
  <c r="D45" i="12" s="1"/>
  <c r="E49" i="11"/>
  <c r="C49" i="11"/>
  <c r="B49" i="11"/>
  <c r="M63" i="9"/>
  <c r="E64" i="9"/>
  <c r="F64" i="9" s="1"/>
  <c r="G64" i="9" s="1"/>
  <c r="H62" i="9"/>
  <c r="D50" i="11"/>
  <c r="N62" i="9"/>
  <c r="L40" i="10" l="1"/>
  <c r="B45" i="12" s="1"/>
  <c r="E45" i="12" s="1"/>
  <c r="P63" i="9"/>
  <c r="X63" i="9" s="1"/>
  <c r="B43" i="10" s="1"/>
  <c r="D43" i="10" s="1"/>
  <c r="P62" i="9"/>
  <c r="K62" i="9"/>
  <c r="F50" i="11" s="1"/>
  <c r="L41" i="10"/>
  <c r="B46" i="12" s="1"/>
  <c r="J64" i="9"/>
  <c r="Z64" i="9" s="1"/>
  <c r="I44" i="10" s="1"/>
  <c r="K44" i="10" s="1"/>
  <c r="G49" i="11"/>
  <c r="K49" i="11" s="1"/>
  <c r="D46" i="12" s="1"/>
  <c r="H63" i="9"/>
  <c r="N63" i="9"/>
  <c r="K63" i="9"/>
  <c r="F51" i="11" s="1"/>
  <c r="D51" i="11"/>
  <c r="M64" i="9"/>
  <c r="E65" i="9"/>
  <c r="F65" i="9" s="1"/>
  <c r="G65" i="9" s="1"/>
  <c r="C50" i="11"/>
  <c r="B50" i="11"/>
  <c r="E50" i="11"/>
  <c r="Q63" i="9" l="1"/>
  <c r="Y63" i="9" s="1"/>
  <c r="E43" i="10" s="1"/>
  <c r="H43" i="10" s="1"/>
  <c r="L43" i="10" s="1"/>
  <c r="B48" i="12" s="1"/>
  <c r="E46" i="12"/>
  <c r="P64" i="9"/>
  <c r="X62" i="9"/>
  <c r="B42" i="10" s="1"/>
  <c r="D42" i="10" s="1"/>
  <c r="Q62" i="9"/>
  <c r="Y62" i="9" s="1"/>
  <c r="E42" i="10" s="1"/>
  <c r="H42" i="10" s="1"/>
  <c r="J65" i="9"/>
  <c r="Z65" i="9" s="1"/>
  <c r="I45" i="10" s="1"/>
  <c r="K45" i="10" s="1"/>
  <c r="G50" i="11"/>
  <c r="K50" i="11" s="1"/>
  <c r="D47" i="12" s="1"/>
  <c r="H64" i="9"/>
  <c r="K64" i="9"/>
  <c r="F52" i="11" s="1"/>
  <c r="N64" i="9"/>
  <c r="D52" i="11"/>
  <c r="E51" i="11"/>
  <c r="C51" i="11"/>
  <c r="B51" i="11"/>
  <c r="M65" i="9"/>
  <c r="E66" i="9"/>
  <c r="L42" i="10" l="1"/>
  <c r="B47" i="12" s="1"/>
  <c r="E47" i="12" s="1"/>
  <c r="P65" i="9"/>
  <c r="X64" i="9"/>
  <c r="B44" i="10" s="1"/>
  <c r="D44" i="10" s="1"/>
  <c r="Q64" i="9"/>
  <c r="Y64" i="9" s="1"/>
  <c r="E44" i="10" s="1"/>
  <c r="H44" i="10" s="1"/>
  <c r="G51" i="11"/>
  <c r="K51" i="11" s="1"/>
  <c r="D48" i="12" s="1"/>
  <c r="E48" i="12" s="1"/>
  <c r="C52" i="11"/>
  <c r="B52" i="11"/>
  <c r="E52" i="11"/>
  <c r="H65" i="9"/>
  <c r="K65" i="9"/>
  <c r="F53" i="11" s="1"/>
  <c r="D53" i="11"/>
  <c r="N65" i="9"/>
  <c r="E67" i="9"/>
  <c r="M66" i="9"/>
  <c r="F66" i="9"/>
  <c r="G66" i="9" s="1"/>
  <c r="L44" i="10" l="1"/>
  <c r="B49" i="12" s="1"/>
  <c r="X65" i="9"/>
  <c r="B45" i="10" s="1"/>
  <c r="D45" i="10" s="1"/>
  <c r="Q65" i="9"/>
  <c r="Y65" i="9" s="1"/>
  <c r="E45" i="10" s="1"/>
  <c r="H45" i="10" s="1"/>
  <c r="J66" i="9"/>
  <c r="Z66" i="9" s="1"/>
  <c r="I46" i="10" s="1"/>
  <c r="K46" i="10" s="1"/>
  <c r="E68" i="9"/>
  <c r="F68" i="9" s="1"/>
  <c r="G68" i="9" s="1"/>
  <c r="M67" i="9"/>
  <c r="N66" i="9"/>
  <c r="D54" i="11"/>
  <c r="H66" i="9"/>
  <c r="F67" i="9"/>
  <c r="G67" i="9" s="1"/>
  <c r="C53" i="11"/>
  <c r="B53" i="11"/>
  <c r="E53" i="11"/>
  <c r="G52" i="11"/>
  <c r="K52" i="11" s="1"/>
  <c r="D49" i="12" s="1"/>
  <c r="K66" i="9" l="1"/>
  <c r="F54" i="11" s="1"/>
  <c r="E49" i="12"/>
  <c r="L45" i="10"/>
  <c r="B50" i="12" s="1"/>
  <c r="P66" i="9"/>
  <c r="J68" i="9"/>
  <c r="Z68" i="9" s="1"/>
  <c r="I48" i="10" s="1"/>
  <c r="K48" i="10" s="1"/>
  <c r="J67" i="9"/>
  <c r="Z67" i="9" s="1"/>
  <c r="I47" i="10" s="1"/>
  <c r="K47" i="10" s="1"/>
  <c r="E54" i="11"/>
  <c r="B54" i="11"/>
  <c r="C54" i="11"/>
  <c r="G53" i="11"/>
  <c r="D55" i="11"/>
  <c r="N67" i="9"/>
  <c r="H67" i="9"/>
  <c r="K67" i="9"/>
  <c r="F55" i="11" s="1"/>
  <c r="E69" i="9"/>
  <c r="M68" i="9"/>
  <c r="P67" i="9" l="1"/>
  <c r="P68" i="9"/>
  <c r="X66" i="9"/>
  <c r="B46" i="10" s="1"/>
  <c r="D46" i="10" s="1"/>
  <c r="Q66" i="9"/>
  <c r="Y66" i="9" s="1"/>
  <c r="E46" i="10" s="1"/>
  <c r="H46" i="10" s="1"/>
  <c r="M69" i="9"/>
  <c r="E70" i="9"/>
  <c r="M70" i="9" s="1"/>
  <c r="E55" i="11"/>
  <c r="B55" i="11"/>
  <c r="C55" i="11"/>
  <c r="F69" i="9"/>
  <c r="G54" i="11"/>
  <c r="N68" i="9"/>
  <c r="K68" i="9"/>
  <c r="H68" i="9"/>
  <c r="D56" i="11"/>
  <c r="K53" i="11"/>
  <c r="D50" i="12" s="1"/>
  <c r="E50" i="12" s="1"/>
  <c r="L46" i="10" l="1"/>
  <c r="B51" i="12" s="1"/>
  <c r="X68" i="9"/>
  <c r="B48" i="10" s="1"/>
  <c r="D48" i="10" s="1"/>
  <c r="Q68" i="9"/>
  <c r="Y68" i="9" s="1"/>
  <c r="E48" i="10" s="1"/>
  <c r="H48" i="10" s="1"/>
  <c r="X67" i="9"/>
  <c r="B47" i="10" s="1"/>
  <c r="D47" i="10" s="1"/>
  <c r="Q67" i="9"/>
  <c r="Y67" i="9" s="1"/>
  <c r="E47" i="10" s="1"/>
  <c r="H47" i="10" s="1"/>
  <c r="L47" i="10" s="1"/>
  <c r="B52" i="12" s="1"/>
  <c r="F70" i="9"/>
  <c r="G70" i="9" s="1"/>
  <c r="G69" i="9"/>
  <c r="J69" i="9" s="1"/>
  <c r="Z69" i="9" s="1"/>
  <c r="I49" i="10" s="1"/>
  <c r="K49" i="10" s="1"/>
  <c r="F56" i="11"/>
  <c r="K54" i="11"/>
  <c r="D51" i="12" s="1"/>
  <c r="K70" i="9"/>
  <c r="D58" i="11"/>
  <c r="N70" i="9"/>
  <c r="H70" i="9"/>
  <c r="C56" i="11"/>
  <c r="E56" i="11"/>
  <c r="B56" i="11"/>
  <c r="G55" i="11"/>
  <c r="H69" i="9"/>
  <c r="N69" i="9"/>
  <c r="K69" i="9"/>
  <c r="D57" i="11"/>
  <c r="E51" i="12" l="1"/>
  <c r="L48" i="10"/>
  <c r="B53" i="12" s="1"/>
  <c r="F57" i="11"/>
  <c r="F58" i="11"/>
  <c r="J70" i="9"/>
  <c r="P70" i="9" s="1"/>
  <c r="X70" i="9" s="1"/>
  <c r="B50" i="10" s="1"/>
  <c r="D50" i="10" s="1"/>
  <c r="F29" i="9"/>
  <c r="B57" i="11"/>
  <c r="E57" i="11"/>
  <c r="C57" i="11"/>
  <c r="E58" i="11"/>
  <c r="C58" i="11"/>
  <c r="B58" i="11"/>
  <c r="G56" i="11"/>
  <c r="K55" i="11"/>
  <c r="D52" i="12" s="1"/>
  <c r="E52" i="12" s="1"/>
  <c r="S55" i="11"/>
  <c r="E48" i="13" s="1"/>
  <c r="K68" i="8"/>
  <c r="J67" i="8" s="1"/>
  <c r="P69" i="9"/>
  <c r="G29" i="9"/>
  <c r="Q70" i="9" l="1"/>
  <c r="Y70" i="9" s="1"/>
  <c r="E50" i="10" s="1"/>
  <c r="H50" i="10" s="1"/>
  <c r="J70" i="8"/>
  <c r="J69" i="8"/>
  <c r="F18" i="11"/>
  <c r="Z70" i="9"/>
  <c r="J29" i="9"/>
  <c r="G58" i="11"/>
  <c r="K58" i="11" s="1"/>
  <c r="D55" i="12" s="1"/>
  <c r="B18" i="11"/>
  <c r="E18" i="11"/>
  <c r="Q69" i="9"/>
  <c r="X69" i="9"/>
  <c r="P29" i="9"/>
  <c r="C18" i="11"/>
  <c r="K56" i="11"/>
  <c r="D53" i="12" s="1"/>
  <c r="E53" i="12" s="1"/>
  <c r="S56" i="11"/>
  <c r="E49" i="13" s="1"/>
  <c r="G57" i="11"/>
  <c r="B77" i="8" l="1"/>
  <c r="P77" i="8" s="1"/>
  <c r="I50" i="10"/>
  <c r="K50" i="10" s="1"/>
  <c r="L50" i="10" s="1"/>
  <c r="Z29" i="9"/>
  <c r="S58" i="11"/>
  <c r="E51" i="13" s="1"/>
  <c r="S57" i="11"/>
  <c r="E50" i="13" s="1"/>
  <c r="K57" i="11"/>
  <c r="G18" i="11"/>
  <c r="B49" i="10"/>
  <c r="X29" i="9"/>
  <c r="Q29" i="9"/>
  <c r="Y69" i="9"/>
  <c r="O77" i="8" l="1"/>
  <c r="B78" i="8"/>
  <c r="B81" i="8" s="1"/>
  <c r="N77" i="8"/>
  <c r="D49" i="10"/>
  <c r="D8" i="10" s="1"/>
  <c r="B8" i="10"/>
  <c r="E49" i="10"/>
  <c r="Y29" i="9"/>
  <c r="D54" i="12"/>
  <c r="D14" i="12" s="1"/>
  <c r="K18" i="11"/>
  <c r="B55" i="12"/>
  <c r="W77" i="8" l="1"/>
  <c r="U100" i="8" s="1"/>
  <c r="V77" i="8"/>
  <c r="H49" i="10"/>
  <c r="E8" i="10"/>
  <c r="E55" i="12"/>
  <c r="AR100" i="8" l="1"/>
  <c r="V100" i="8"/>
  <c r="AS100" i="8" s="1"/>
  <c r="U99" i="8"/>
  <c r="AR99" i="8" s="1"/>
  <c r="U98" i="8"/>
  <c r="Z77" i="8"/>
  <c r="L49" i="10"/>
  <c r="H8" i="10"/>
  <c r="S24" i="11"/>
  <c r="Y100" i="8" l="1"/>
  <c r="AV100" i="8" s="1"/>
  <c r="AW100" i="8" s="1"/>
  <c r="C24" i="12" s="1"/>
  <c r="E24" i="12" s="1"/>
  <c r="V99" i="8"/>
  <c r="Y99" i="8" s="1"/>
  <c r="Z99" i="8" s="1"/>
  <c r="AA99" i="8" s="1"/>
  <c r="U91" i="8"/>
  <c r="AR98" i="8"/>
  <c r="AR91" i="8" s="1"/>
  <c r="V98" i="8"/>
  <c r="AS98" i="8" s="1"/>
  <c r="B54" i="12"/>
  <c r="L8" i="10"/>
  <c r="E17" i="13"/>
  <c r="Z100" i="8" l="1"/>
  <c r="AA100" i="8" s="1"/>
  <c r="Y98" i="8"/>
  <c r="Y91" i="8" s="1"/>
  <c r="V91" i="8"/>
  <c r="AS99" i="8"/>
  <c r="AS91" i="8" s="1"/>
  <c r="AV99" i="8"/>
  <c r="E54" i="12"/>
  <c r="B14" i="12"/>
  <c r="I15" i="15"/>
  <c r="I16" i="14"/>
  <c r="E16" i="14"/>
  <c r="E15" i="15"/>
  <c r="AV98" i="8" l="1"/>
  <c r="AW98" i="8" s="1"/>
  <c r="C22" i="12" s="1"/>
  <c r="E22" i="12" s="1"/>
  <c r="F22" i="12" s="1"/>
  <c r="Z98" i="8"/>
  <c r="AW99" i="8"/>
  <c r="C23" i="12" s="1"/>
  <c r="E23" i="12" s="1"/>
  <c r="F23" i="12" l="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B4" i="12" s="1"/>
  <c r="G25" i="12" s="1"/>
  <c r="AV91" i="8"/>
  <c r="AA98" i="8"/>
  <c r="AA91" i="8" s="1"/>
  <c r="Z91" i="8"/>
  <c r="C14" i="12"/>
  <c r="AW91" i="8"/>
  <c r="E14" i="12"/>
  <c r="AL31" i="13" l="1"/>
  <c r="AG41" i="13"/>
  <c r="AL15" i="13"/>
  <c r="AM15" i="13" s="1"/>
  <c r="M13" i="16" s="1"/>
  <c r="G43" i="12"/>
  <c r="K43" i="12" s="1"/>
  <c r="I37" i="22" s="1"/>
  <c r="AG18" i="13"/>
  <c r="H35" i="12"/>
  <c r="AZ111" i="8" s="1"/>
  <c r="AG38" i="13"/>
  <c r="G23" i="12"/>
  <c r="K23" i="12" s="1"/>
  <c r="I17" i="22" s="1"/>
  <c r="AG47" i="13"/>
  <c r="H25" i="12"/>
  <c r="BG101" i="8" s="1"/>
  <c r="G36" i="12"/>
  <c r="I30" i="16" s="1"/>
  <c r="H32" i="12"/>
  <c r="O27" i="10" s="1"/>
  <c r="H40" i="12"/>
  <c r="X35" i="10" s="1"/>
  <c r="AL49" i="13"/>
  <c r="H30" i="12"/>
  <c r="AD45" i="9" s="1"/>
  <c r="AI45" i="9" s="1"/>
  <c r="AL12" i="13"/>
  <c r="AM12" i="13" s="1"/>
  <c r="M10" i="16" s="1"/>
  <c r="AG17" i="13"/>
  <c r="AL16" i="13"/>
  <c r="AM16" i="13" s="1"/>
  <c r="M15" i="14" s="1"/>
  <c r="G40" i="12"/>
  <c r="I34" i="16" s="1"/>
  <c r="AG50" i="13"/>
  <c r="AG27" i="13"/>
  <c r="AL37" i="13"/>
  <c r="H27" i="12"/>
  <c r="AM42" i="9" s="1"/>
  <c r="G28" i="12"/>
  <c r="I22" i="16" s="1"/>
  <c r="G27" i="12"/>
  <c r="F23" i="13" s="1"/>
  <c r="AG49" i="13"/>
  <c r="H33" i="12"/>
  <c r="O28" i="10" s="1"/>
  <c r="K12" i="13"/>
  <c r="N12" i="13" s="1"/>
  <c r="G55" i="12"/>
  <c r="I49" i="16" s="1"/>
  <c r="AG34" i="13"/>
  <c r="AG36" i="13"/>
  <c r="H41" i="12"/>
  <c r="AM56" i="9" s="1"/>
  <c r="AL36" i="13"/>
  <c r="H36" i="12"/>
  <c r="BB112" i="8" s="1"/>
  <c r="BV112" i="8" s="1"/>
  <c r="AG33" i="13"/>
  <c r="H53" i="12"/>
  <c r="BE129" i="8" s="1"/>
  <c r="BY129" i="8" s="1"/>
  <c r="H38" i="12"/>
  <c r="AM53" i="9" s="1"/>
  <c r="G30" i="12"/>
  <c r="K30" i="12" s="1"/>
  <c r="I24" i="22" s="1"/>
  <c r="H42" i="12"/>
  <c r="X37" i="10" s="1"/>
  <c r="H47" i="12"/>
  <c r="BF123" i="8" s="1"/>
  <c r="BZ123" i="8" s="1"/>
  <c r="AL51" i="13"/>
  <c r="H16" i="12"/>
  <c r="AD31" i="9" s="1"/>
  <c r="G21" i="12"/>
  <c r="I15" i="16" s="1"/>
  <c r="A11" i="16"/>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G12" i="13"/>
  <c r="K13" i="13"/>
  <c r="N13" i="13" s="1"/>
  <c r="H28" i="12"/>
  <c r="AZ104" i="8" s="1"/>
  <c r="AL47" i="13"/>
  <c r="K47" i="13"/>
  <c r="L47" i="13" s="1"/>
  <c r="AG26" i="13"/>
  <c r="H54" i="12"/>
  <c r="BG130" i="8" s="1"/>
  <c r="H50" i="12"/>
  <c r="AD65" i="9" s="1"/>
  <c r="AI65" i="9" s="1"/>
  <c r="K50" i="13"/>
  <c r="L50" i="13" s="1"/>
  <c r="H34" i="12"/>
  <c r="BC110" i="8" s="1"/>
  <c r="BW110" i="8" s="1"/>
  <c r="K51" i="13"/>
  <c r="M51" i="13" s="1"/>
  <c r="AL23" i="13"/>
  <c r="K49" i="13"/>
  <c r="M49" i="13" s="1"/>
  <c r="G35" i="12"/>
  <c r="K35" i="12" s="1"/>
  <c r="I29" i="22" s="1"/>
  <c r="H52" i="12"/>
  <c r="BG128" i="8" s="1"/>
  <c r="AG32" i="13"/>
  <c r="AG51" i="13"/>
  <c r="H31" i="12"/>
  <c r="AC46" i="9" s="1"/>
  <c r="AH46" i="9" s="1"/>
  <c r="G26" i="12"/>
  <c r="K26" i="12" s="1"/>
  <c r="I20" i="22" s="1"/>
  <c r="AG48" i="13"/>
  <c r="AL29" i="13"/>
  <c r="H26" i="12"/>
  <c r="P21" i="10" s="1"/>
  <c r="AL22" i="13"/>
  <c r="G51" i="12"/>
  <c r="I45" i="16" s="1"/>
  <c r="C4" i="12"/>
  <c r="C38" i="13" s="1"/>
  <c r="AL19" i="13"/>
  <c r="AL40" i="13"/>
  <c r="G18" i="12"/>
  <c r="K18" i="12" s="1"/>
  <c r="I12" i="22" s="1"/>
  <c r="H18" i="12"/>
  <c r="AM33" i="9" s="1"/>
  <c r="AG16" i="13"/>
  <c r="AL38" i="13"/>
  <c r="F20" i="5"/>
  <c r="I13" i="2" s="1"/>
  <c r="AG31" i="13"/>
  <c r="G11" i="14"/>
  <c r="F13" i="14" s="1"/>
  <c r="G13" i="14" s="1"/>
  <c r="F15" i="14" s="1"/>
  <c r="G15" i="14" s="1"/>
  <c r="H19" i="12"/>
  <c r="AL34" i="9" s="1"/>
  <c r="K48" i="13"/>
  <c r="L48" i="13" s="1"/>
  <c r="AL48" i="13"/>
  <c r="G16" i="12"/>
  <c r="I10" i="16" s="1"/>
  <c r="AG28" i="13"/>
  <c r="AL34" i="13"/>
  <c r="AL26" i="13"/>
  <c r="AG21" i="13"/>
  <c r="AG29" i="13"/>
  <c r="AL27" i="13"/>
  <c r="G24" i="12"/>
  <c r="F20" i="13" s="1"/>
  <c r="G41" i="12"/>
  <c r="I35" i="16" s="1"/>
  <c r="B6" i="12"/>
  <c r="G47" i="12" s="1"/>
  <c r="K47" i="12" s="1"/>
  <c r="I41" i="22" s="1"/>
  <c r="G22" i="12"/>
  <c r="I16" i="16" s="1"/>
  <c r="G52" i="12"/>
  <c r="I46" i="16" s="1"/>
  <c r="AG39" i="13"/>
  <c r="AG24" i="13"/>
  <c r="H37" i="12"/>
  <c r="BD113" i="8" s="1"/>
  <c r="BX113" i="8" s="1"/>
  <c r="H39" i="12"/>
  <c r="BF115" i="8" s="1"/>
  <c r="BZ115" i="8" s="1"/>
  <c r="AL32" i="13"/>
  <c r="AL28" i="13"/>
  <c r="AG22" i="13"/>
  <c r="G37" i="12"/>
  <c r="K37" i="12" s="1"/>
  <c r="I31" i="22" s="1"/>
  <c r="G31" i="12"/>
  <c r="F27" i="13" s="1"/>
  <c r="H22" i="12"/>
  <c r="AL37" i="9" s="1"/>
  <c r="G19" i="12"/>
  <c r="I13" i="16" s="1"/>
  <c r="B7" i="12"/>
  <c r="K5" i="15" s="1"/>
  <c r="K10" i="15" s="1"/>
  <c r="J11" i="15" s="1"/>
  <c r="K11" i="15" s="1"/>
  <c r="J12" i="15" s="1"/>
  <c r="K12" i="15" s="1"/>
  <c r="J13" i="15" s="1"/>
  <c r="K13" i="15" s="1"/>
  <c r="J14" i="15" s="1"/>
  <c r="K14" i="15" s="1"/>
  <c r="AG37" i="13"/>
  <c r="G54" i="12"/>
  <c r="F50" i="13" s="1"/>
  <c r="A11" i="22"/>
  <c r="AS11" i="22" s="1"/>
  <c r="G44" i="12"/>
  <c r="F40" i="13" s="1"/>
  <c r="H17" i="12"/>
  <c r="BE93" i="8" s="1"/>
  <c r="BY93" i="8" s="1"/>
  <c r="H55" i="12"/>
  <c r="X50" i="10" s="1"/>
  <c r="H44" i="12"/>
  <c r="M47" i="11" s="1"/>
  <c r="AG45" i="13"/>
  <c r="H29" i="12"/>
  <c r="N24" i="10" s="1"/>
  <c r="AL33" i="13"/>
  <c r="H45" i="12"/>
  <c r="AB60" i="9" s="1"/>
  <c r="AG60" i="9" s="1"/>
  <c r="G29" i="12"/>
  <c r="I23" i="16" s="1"/>
  <c r="AG23" i="13"/>
  <c r="AL20" i="13"/>
  <c r="AL24" i="13"/>
  <c r="AL25" i="13"/>
  <c r="H21" i="12"/>
  <c r="BB97" i="8" s="1"/>
  <c r="BV97" i="8" s="1"/>
  <c r="AL14" i="13"/>
  <c r="AM14" i="13" s="1"/>
  <c r="M13" i="14" s="1"/>
  <c r="G10" i="15"/>
  <c r="F11" i="15" s="1"/>
  <c r="G11" i="15" s="1"/>
  <c r="F12" i="15" s="1"/>
  <c r="G12" i="15" s="1"/>
  <c r="F13" i="15" s="1"/>
  <c r="G13" i="15" s="1"/>
  <c r="F14" i="15" s="1"/>
  <c r="AL21" i="13"/>
  <c r="AL18" i="13"/>
  <c r="G12" i="14"/>
  <c r="F14" i="14" s="1"/>
  <c r="G14" i="14" s="1"/>
  <c r="F16" i="14" s="1"/>
  <c r="G16" i="14" s="1"/>
  <c r="AG25" i="13"/>
  <c r="AG15" i="13"/>
  <c r="G20" i="12"/>
  <c r="K20" i="12" s="1"/>
  <c r="I14" i="22" s="1"/>
  <c r="AL39" i="13"/>
  <c r="H49" i="12"/>
  <c r="AM64" i="9" s="1"/>
  <c r="G38" i="12"/>
  <c r="K38" i="12" s="1"/>
  <c r="I32" i="22" s="1"/>
  <c r="G42" i="12"/>
  <c r="F38" i="13" s="1"/>
  <c r="AG40" i="13"/>
  <c r="AL45" i="13"/>
  <c r="H23" i="12"/>
  <c r="AC38" i="9" s="1"/>
  <c r="AH38" i="9" s="1"/>
  <c r="H46" i="12"/>
  <c r="BF122" i="8" s="1"/>
  <c r="BZ122" i="8" s="1"/>
  <c r="G53" i="12"/>
  <c r="I47" i="16" s="1"/>
  <c r="G33" i="12"/>
  <c r="I27" i="16" s="1"/>
  <c r="AG19" i="13"/>
  <c r="G49" i="12"/>
  <c r="K49" i="12" s="1"/>
  <c r="I43" i="22" s="1"/>
  <c r="AL50" i="13"/>
  <c r="G32" i="12"/>
  <c r="I26" i="16" s="1"/>
  <c r="AL17" i="13"/>
  <c r="AG14" i="13"/>
  <c r="H24" i="12"/>
  <c r="BD100" i="8" s="1"/>
  <c r="BX100" i="8" s="1"/>
  <c r="H51" i="12"/>
  <c r="AC66" i="9" s="1"/>
  <c r="AH66" i="9" s="1"/>
  <c r="H48" i="12"/>
  <c r="P43" i="10" s="1"/>
  <c r="H43" i="12"/>
  <c r="BB119" i="8" s="1"/>
  <c r="BV119" i="8" s="1"/>
  <c r="AG20" i="13"/>
  <c r="H20" i="12"/>
  <c r="BB96" i="8" s="1"/>
  <c r="BV96" i="8" s="1"/>
  <c r="G39" i="12"/>
  <c r="I33" i="16" s="1"/>
  <c r="G50" i="12"/>
  <c r="K50" i="12" s="1"/>
  <c r="I44" i="22" s="1"/>
  <c r="G45" i="12"/>
  <c r="G46" i="12"/>
  <c r="F21" i="13"/>
  <c r="I19" i="16"/>
  <c r="K25" i="12"/>
  <c r="I19" i="22" s="1"/>
  <c r="G48" i="12" l="1"/>
  <c r="F44" i="13" s="1"/>
  <c r="F22" i="13"/>
  <c r="G34" i="12"/>
  <c r="F30" i="13" s="1"/>
  <c r="BD110" i="8"/>
  <c r="BX110" i="8" s="1"/>
  <c r="M37" i="11"/>
  <c r="BF110" i="8"/>
  <c r="BZ110" i="8" s="1"/>
  <c r="L49" i="13"/>
  <c r="C22" i="13"/>
  <c r="C31" i="13"/>
  <c r="BD109" i="8"/>
  <c r="BX109" i="8" s="1"/>
  <c r="BB111" i="8"/>
  <c r="BV111" i="8" s="1"/>
  <c r="BB107" i="8"/>
  <c r="BV107" i="8" s="1"/>
  <c r="M33" i="11"/>
  <c r="J24" i="16" s="1"/>
  <c r="AM69" i="9"/>
  <c r="I20" i="16"/>
  <c r="C17" i="13"/>
  <c r="AC45" i="9"/>
  <c r="AH45" i="9" s="1"/>
  <c r="BE106" i="8"/>
  <c r="BY106" i="8" s="1"/>
  <c r="O25" i="10"/>
  <c r="AZ115" i="8"/>
  <c r="BG115" i="8"/>
  <c r="CA115" i="8" s="1"/>
  <c r="BA115" i="8"/>
  <c r="BU115" i="8" s="1"/>
  <c r="BF120" i="8"/>
  <c r="BZ120" i="8" s="1"/>
  <c r="C44" i="13"/>
  <c r="X39" i="10"/>
  <c r="N39" i="10"/>
  <c r="P39" i="10"/>
  <c r="AM59" i="9"/>
  <c r="F25" i="13"/>
  <c r="BG110" i="8"/>
  <c r="CA110" i="8" s="1"/>
  <c r="BC120" i="8"/>
  <c r="BW120" i="8" s="1"/>
  <c r="K29" i="12"/>
  <c r="I23" i="22" s="1"/>
  <c r="AB45" i="9"/>
  <c r="AG45" i="9" s="1"/>
  <c r="P25" i="10"/>
  <c r="D24" i="16" s="1"/>
  <c r="C13" i="13"/>
  <c r="AD68" i="9"/>
  <c r="AI68" i="9" s="1"/>
  <c r="O29" i="10"/>
  <c r="BA120" i="8"/>
  <c r="AC43" i="9"/>
  <c r="AH43" i="9" s="1"/>
  <c r="BE120" i="8"/>
  <c r="BY120" i="8" s="1"/>
  <c r="AD43" i="9"/>
  <c r="AI43" i="9" s="1"/>
  <c r="C50" i="13"/>
  <c r="BF106" i="8"/>
  <c r="BZ106" i="8" s="1"/>
  <c r="M38" i="11"/>
  <c r="C42" i="13"/>
  <c r="AB54" i="9"/>
  <c r="AG54" i="9" s="1"/>
  <c r="AD40" i="9"/>
  <c r="AI40" i="9" s="1"/>
  <c r="AZ130" i="8"/>
  <c r="BT130" i="8" s="1"/>
  <c r="BB101" i="8"/>
  <c r="BV101" i="8" s="1"/>
  <c r="BE101" i="8"/>
  <c r="BY101" i="8" s="1"/>
  <c r="BA117" i="8"/>
  <c r="BU117" i="8" s="1"/>
  <c r="BC101" i="8"/>
  <c r="BW101" i="8" s="1"/>
  <c r="P36" i="10"/>
  <c r="U36" i="10" s="1"/>
  <c r="D35" i="22" s="1"/>
  <c r="C47" i="13"/>
  <c r="BD101" i="8"/>
  <c r="BX101" i="8" s="1"/>
  <c r="BE117" i="8"/>
  <c r="X30" i="10"/>
  <c r="BA101" i="8"/>
  <c r="BD117" i="8"/>
  <c r="BX117" i="8" s="1"/>
  <c r="N20" i="10"/>
  <c r="BB117" i="8"/>
  <c r="BV117" i="8" s="1"/>
  <c r="BE95" i="8"/>
  <c r="BY95" i="8" s="1"/>
  <c r="BC117" i="8"/>
  <c r="BW117" i="8" s="1"/>
  <c r="AD34" i="9"/>
  <c r="AI34" i="9" s="1"/>
  <c r="AD50" i="9"/>
  <c r="AI50" i="9" s="1"/>
  <c r="AD47" i="9"/>
  <c r="AI47" i="9" s="1"/>
  <c r="BB115" i="8"/>
  <c r="BV115" i="8" s="1"/>
  <c r="AC68" i="9"/>
  <c r="AH68" i="9" s="1"/>
  <c r="BC129" i="8"/>
  <c r="BW129" i="8" s="1"/>
  <c r="M56" i="11"/>
  <c r="P56" i="11" s="1"/>
  <c r="J47" i="22" s="1"/>
  <c r="AB56" i="9"/>
  <c r="AG56" i="9" s="1"/>
  <c r="BC116" i="8"/>
  <c r="BW116" i="8" s="1"/>
  <c r="AB55" i="9"/>
  <c r="AG55" i="9" s="1"/>
  <c r="C20" i="13"/>
  <c r="C49" i="13"/>
  <c r="K24" i="12"/>
  <c r="I18" i="22" s="1"/>
  <c r="C30" i="13"/>
  <c r="K22" i="12"/>
  <c r="I16" i="22" s="1"/>
  <c r="AL65" i="9"/>
  <c r="C39" i="13"/>
  <c r="F26" i="13"/>
  <c r="BE111" i="8"/>
  <c r="BY111" i="8" s="1"/>
  <c r="AM40" i="9"/>
  <c r="AB48" i="9"/>
  <c r="AG48" i="9" s="1"/>
  <c r="BF101" i="8"/>
  <c r="BZ101" i="8" s="1"/>
  <c r="I37" i="16"/>
  <c r="M13" i="22"/>
  <c r="BE114" i="8"/>
  <c r="BY114" i="8" s="1"/>
  <c r="M12" i="13"/>
  <c r="BG116" i="8"/>
  <c r="L12" i="13"/>
  <c r="AC55" i="9"/>
  <c r="AH55" i="9" s="1"/>
  <c r="AK41" i="9"/>
  <c r="AM47" i="9"/>
  <c r="AM62" i="9"/>
  <c r="BH123" i="8"/>
  <c r="CB123" i="8" s="1"/>
  <c r="O48" i="10"/>
  <c r="C47" i="16" s="1"/>
  <c r="M43" i="11"/>
  <c r="J34" i="16" s="1"/>
  <c r="AM68" i="9"/>
  <c r="BB116" i="8"/>
  <c r="BV116" i="8" s="1"/>
  <c r="BF129" i="8"/>
  <c r="BZ129" i="8" s="1"/>
  <c r="AM48" i="9"/>
  <c r="M47" i="13"/>
  <c r="C21" i="13"/>
  <c r="BG129" i="8"/>
  <c r="BM129" i="8" s="1"/>
  <c r="N28" i="10"/>
  <c r="F17" i="13"/>
  <c r="K21" i="12"/>
  <c r="I15" i="22" s="1"/>
  <c r="F36" i="13"/>
  <c r="C11" i="13"/>
  <c r="H11" i="13" s="1"/>
  <c r="I11" i="13" s="1"/>
  <c r="O11" i="13" s="1"/>
  <c r="BB130" i="8"/>
  <c r="BV130" i="8" s="1"/>
  <c r="BF111" i="8"/>
  <c r="BZ111" i="8" s="1"/>
  <c r="C45" i="13"/>
  <c r="BB120" i="8"/>
  <c r="BV120" i="8" s="1"/>
  <c r="AD69" i="9"/>
  <c r="AI69" i="9" s="1"/>
  <c r="BA107" i="8"/>
  <c r="BC130" i="8"/>
  <c r="BW130" i="8" s="1"/>
  <c r="K36" i="12"/>
  <c r="I30" i="22" s="1"/>
  <c r="F32" i="13"/>
  <c r="I17" i="16"/>
  <c r="I24" i="16"/>
  <c r="K28" i="12"/>
  <c r="I22" i="22" s="1"/>
  <c r="M10" i="15"/>
  <c r="M10" i="22"/>
  <c r="L13" i="13"/>
  <c r="M13" i="15"/>
  <c r="M14" i="14"/>
  <c r="AD42" i="9"/>
  <c r="AI42" i="9" s="1"/>
  <c r="BD112" i="8"/>
  <c r="BX112" i="8" s="1"/>
  <c r="AC51" i="9"/>
  <c r="AH51" i="9" s="1"/>
  <c r="BH93" i="8"/>
  <c r="CB93" i="8" s="1"/>
  <c r="N22" i="10"/>
  <c r="B21" i="16" s="1"/>
  <c r="AK32" i="9"/>
  <c r="P22" i="10"/>
  <c r="BA103" i="8"/>
  <c r="BU103" i="8" s="1"/>
  <c r="AC42" i="9"/>
  <c r="AH42" i="9" s="1"/>
  <c r="AK42" i="9"/>
  <c r="BH103" i="8"/>
  <c r="CB103" i="8" s="1"/>
  <c r="BF103" i="8"/>
  <c r="BZ103" i="8" s="1"/>
  <c r="M23" i="11"/>
  <c r="J14" i="16" s="1"/>
  <c r="AK31" i="9"/>
  <c r="AZ103" i="8"/>
  <c r="BG103" i="8"/>
  <c r="BM103" i="8" s="1"/>
  <c r="AL32" i="9"/>
  <c r="AC32" i="9"/>
  <c r="AH32" i="9" s="1"/>
  <c r="AL40" i="9"/>
  <c r="BG93" i="8"/>
  <c r="AL54" i="9"/>
  <c r="P35" i="10"/>
  <c r="D34" i="16" s="1"/>
  <c r="M28" i="11"/>
  <c r="J19" i="16" s="1"/>
  <c r="O12" i="10"/>
  <c r="C11" i="16" s="1"/>
  <c r="AK54" i="9"/>
  <c r="AL55" i="9"/>
  <c r="N48" i="13"/>
  <c r="AB51" i="9"/>
  <c r="AG51" i="9" s="1"/>
  <c r="AK48" i="9"/>
  <c r="AL31" i="9"/>
  <c r="BB109" i="8"/>
  <c r="BV109" i="8" s="1"/>
  <c r="BB114" i="8"/>
  <c r="BV114" i="8" s="1"/>
  <c r="I29" i="16"/>
  <c r="F31" i="13"/>
  <c r="P28" i="10"/>
  <c r="D27" i="16" s="1"/>
  <c r="BG109" i="8"/>
  <c r="BM109" i="8" s="1"/>
  <c r="AL48" i="9"/>
  <c r="AK53" i="9"/>
  <c r="C37" i="13"/>
  <c r="BG120" i="8"/>
  <c r="C41" i="13"/>
  <c r="C15" i="13"/>
  <c r="X29" i="10"/>
  <c r="BF109" i="8"/>
  <c r="BZ109" i="8" s="1"/>
  <c r="C24" i="13"/>
  <c r="C12" i="13"/>
  <c r="C14" i="13"/>
  <c r="K55" i="12"/>
  <c r="I49" i="22" s="1"/>
  <c r="F51" i="13"/>
  <c r="F37" i="13"/>
  <c r="O20" i="10"/>
  <c r="T20" i="10" s="1"/>
  <c r="C19" i="22" s="1"/>
  <c r="AZ106" i="8"/>
  <c r="AC56" i="9"/>
  <c r="AH56" i="9" s="1"/>
  <c r="BH111" i="8"/>
  <c r="CB111" i="8" s="1"/>
  <c r="BH102" i="8"/>
  <c r="CB102" i="8" s="1"/>
  <c r="AL56" i="9"/>
  <c r="AL41" i="9"/>
  <c r="C33" i="13"/>
  <c r="AD56" i="9"/>
  <c r="AI56" i="9" s="1"/>
  <c r="C34" i="13"/>
  <c r="BF93" i="8"/>
  <c r="BZ93" i="8" s="1"/>
  <c r="BB106" i="8"/>
  <c r="BV106" i="8" s="1"/>
  <c r="X36" i="10"/>
  <c r="BA111" i="8"/>
  <c r="BU111" i="8" s="1"/>
  <c r="AK51" i="9"/>
  <c r="BD114" i="8"/>
  <c r="BX114" i="8" s="1"/>
  <c r="BA110" i="8"/>
  <c r="BU110" i="8" s="1"/>
  <c r="O22" i="10"/>
  <c r="T22" i="10" s="1"/>
  <c r="C21" i="22" s="1"/>
  <c r="N42" i="10"/>
  <c r="S42" i="10" s="1"/>
  <c r="BF124" i="8"/>
  <c r="BZ124" i="8" s="1"/>
  <c r="AB63" i="9"/>
  <c r="AG63" i="9" s="1"/>
  <c r="K41" i="12"/>
  <c r="I35" i="22" s="1"/>
  <c r="BC97" i="8"/>
  <c r="BW97" i="8" s="1"/>
  <c r="AB36" i="9"/>
  <c r="AG36" i="9" s="1"/>
  <c r="O16" i="10"/>
  <c r="P16" i="10"/>
  <c r="D15" i="16" s="1"/>
  <c r="AK36" i="9"/>
  <c r="BD97" i="8"/>
  <c r="BX97" i="8" s="1"/>
  <c r="AB40" i="9"/>
  <c r="AG40" i="9" s="1"/>
  <c r="I18" i="16"/>
  <c r="M24" i="11"/>
  <c r="C16" i="14" s="1"/>
  <c r="AM36" i="9"/>
  <c r="AZ101" i="8"/>
  <c r="BT101" i="8" s="1"/>
  <c r="AM51" i="9"/>
  <c r="AK40" i="9"/>
  <c r="AB53" i="9"/>
  <c r="AG53" i="9" s="1"/>
  <c r="X31" i="10"/>
  <c r="X20" i="10"/>
  <c r="AZ114" i="8"/>
  <c r="BK114" i="8" s="1"/>
  <c r="AZ107" i="8"/>
  <c r="BK107" i="8" s="1"/>
  <c r="AZ112" i="8"/>
  <c r="K16" i="12"/>
  <c r="I10" i="22" s="1"/>
  <c r="BG124" i="8"/>
  <c r="CA124" i="8" s="1"/>
  <c r="AK64" i="9"/>
  <c r="AD49" i="9"/>
  <c r="AI49" i="9" s="1"/>
  <c r="AM49" i="9"/>
  <c r="AC40" i="9"/>
  <c r="AH40" i="9" s="1"/>
  <c r="BA95" i="8"/>
  <c r="AD48" i="9"/>
  <c r="AI48" i="9" s="1"/>
  <c r="BG97" i="8"/>
  <c r="BM97" i="8" s="1"/>
  <c r="AB49" i="9"/>
  <c r="AG49" i="9" s="1"/>
  <c r="BG126" i="8"/>
  <c r="BM126" i="8" s="1"/>
  <c r="BF126" i="8"/>
  <c r="BZ126" i="8" s="1"/>
  <c r="M14" i="22"/>
  <c r="X38" i="10"/>
  <c r="BZ11" i="22"/>
  <c r="AR11" i="22"/>
  <c r="BC119" i="8"/>
  <c r="BW119" i="8" s="1"/>
  <c r="AH11" i="22"/>
  <c r="AF11" i="22" s="1"/>
  <c r="AQ4" i="22" s="1"/>
  <c r="M14" i="16"/>
  <c r="F12" i="13"/>
  <c r="I14" i="16"/>
  <c r="C16" i="13"/>
  <c r="AM34" i="9"/>
  <c r="BA129" i="8"/>
  <c r="BU129" i="8" s="1"/>
  <c r="F16" i="13"/>
  <c r="K40" i="12"/>
  <c r="I34" i="22" s="1"/>
  <c r="N33" i="10"/>
  <c r="S33" i="10" s="1"/>
  <c r="AC49" i="9"/>
  <c r="AH49" i="9" s="1"/>
  <c r="BC112" i="8"/>
  <c r="BW112" i="8" s="1"/>
  <c r="AD64" i="9"/>
  <c r="AI64" i="9" s="1"/>
  <c r="AZ129" i="8"/>
  <c r="N45" i="10"/>
  <c r="S45" i="10" s="1"/>
  <c r="BB129" i="8"/>
  <c r="BV129" i="8" s="1"/>
  <c r="C48" i="13"/>
  <c r="AK68" i="9"/>
  <c r="M36" i="11"/>
  <c r="J27" i="16" s="1"/>
  <c r="BA130" i="8"/>
  <c r="BU130" i="8" s="1"/>
  <c r="M41" i="11"/>
  <c r="C32" i="15" s="1"/>
  <c r="AM58" i="9"/>
  <c r="AL49" i="9"/>
  <c r="AZ119" i="8"/>
  <c r="BK119" i="8" s="1"/>
  <c r="AK58" i="9"/>
  <c r="AC48" i="9"/>
  <c r="AH48" i="9" s="1"/>
  <c r="AZ116" i="8"/>
  <c r="BK116" i="8" s="1"/>
  <c r="N48" i="10"/>
  <c r="B47" i="16" s="1"/>
  <c r="N12" i="10"/>
  <c r="S12" i="10" s="1"/>
  <c r="AZ109" i="8"/>
  <c r="BK109" i="8" s="1"/>
  <c r="P12" i="10"/>
  <c r="U12" i="10" s="1"/>
  <c r="D11" i="22" s="1"/>
  <c r="F18" i="13"/>
  <c r="BH109" i="8"/>
  <c r="CB109" i="8" s="1"/>
  <c r="BE116" i="8"/>
  <c r="BY116" i="8" s="1"/>
  <c r="AD32" i="9"/>
  <c r="AI32" i="9" s="1"/>
  <c r="BE109" i="8"/>
  <c r="BY109" i="8" s="1"/>
  <c r="AD55" i="9"/>
  <c r="AI55" i="9" s="1"/>
  <c r="BC111" i="8"/>
  <c r="BW111" i="8" s="1"/>
  <c r="BA108" i="8"/>
  <c r="BU108" i="8" s="1"/>
  <c r="M20" i="11"/>
  <c r="J11" i="16" s="1"/>
  <c r="F19" i="13"/>
  <c r="N47" i="13"/>
  <c r="BA93" i="8"/>
  <c r="BU93" i="8" s="1"/>
  <c r="AD54" i="9"/>
  <c r="AI54" i="9" s="1"/>
  <c r="AC61" i="9"/>
  <c r="AH61" i="9" s="1"/>
  <c r="AM35" i="9"/>
  <c r="AD51" i="9"/>
  <c r="AI51" i="9" s="1"/>
  <c r="M14" i="15"/>
  <c r="AM61" i="9"/>
  <c r="BC125" i="8"/>
  <c r="BW125" i="8" s="1"/>
  <c r="P49" i="10"/>
  <c r="D48" i="16" s="1"/>
  <c r="N51" i="13"/>
  <c r="BD106" i="8"/>
  <c r="BX106" i="8" s="1"/>
  <c r="AL69" i="9"/>
  <c r="F24" i="13"/>
  <c r="N43" i="10"/>
  <c r="B42" i="16" s="1"/>
  <c r="P37" i="10"/>
  <c r="D36" i="16" s="1"/>
  <c r="L51" i="13"/>
  <c r="BD103" i="8"/>
  <c r="BX103" i="8" s="1"/>
  <c r="C32" i="13"/>
  <c r="BC103" i="8"/>
  <c r="BW103" i="8" s="1"/>
  <c r="BC106" i="8"/>
  <c r="BW106" i="8" s="1"/>
  <c r="AC54" i="9"/>
  <c r="AH54" i="9" s="1"/>
  <c r="AC69" i="9"/>
  <c r="AH69" i="9" s="1"/>
  <c r="O43" i="10"/>
  <c r="T43" i="10" s="1"/>
  <c r="C42" i="22" s="1"/>
  <c r="BD111" i="8"/>
  <c r="BX111" i="8" s="1"/>
  <c r="BA123" i="8"/>
  <c r="BB125" i="8"/>
  <c r="BV125" i="8" s="1"/>
  <c r="F48" i="13"/>
  <c r="X44" i="10"/>
  <c r="AB64" i="9"/>
  <c r="AG64" i="9" s="1"/>
  <c r="M30" i="11"/>
  <c r="P30" i="11" s="1"/>
  <c r="J21" i="22" s="1"/>
  <c r="P48" i="10"/>
  <c r="U48" i="10" s="1"/>
  <c r="D47" i="22" s="1"/>
  <c r="AB62" i="9"/>
  <c r="AG62" i="9" s="1"/>
  <c r="AM37" i="9"/>
  <c r="AL61" i="9"/>
  <c r="BF125" i="8"/>
  <c r="BZ125" i="8" s="1"/>
  <c r="BC98" i="8"/>
  <c r="BW98" i="8" s="1"/>
  <c r="AZ125" i="8"/>
  <c r="BK125" i="8" s="1"/>
  <c r="X22" i="10"/>
  <c r="AL68" i="9"/>
  <c r="AK45" i="9"/>
  <c r="N34" i="10"/>
  <c r="S34" i="10" s="1"/>
  <c r="BG117" i="8"/>
  <c r="CA117" i="8" s="1"/>
  <c r="AC37" i="9"/>
  <c r="AH37" i="9" s="1"/>
  <c r="BD122" i="8"/>
  <c r="H40" i="16" s="1"/>
  <c r="O30" i="10"/>
  <c r="T30" i="10" s="1"/>
  <c r="C29" i="22" s="1"/>
  <c r="BF108" i="8"/>
  <c r="BZ108" i="8" s="1"/>
  <c r="C29" i="13"/>
  <c r="AL64" i="9"/>
  <c r="AL42" i="9"/>
  <c r="BH129" i="8"/>
  <c r="CB129" i="8" s="1"/>
  <c r="BH120" i="8"/>
  <c r="CB120" i="8" s="1"/>
  <c r="AM45" i="9"/>
  <c r="P34" i="10"/>
  <c r="D33" i="16" s="1"/>
  <c r="BH117" i="8"/>
  <c r="CB117" i="8" s="1"/>
  <c r="F39" i="13"/>
  <c r="BB122" i="8"/>
  <c r="BV122" i="8" s="1"/>
  <c r="P30" i="10"/>
  <c r="U30" i="10" s="1"/>
  <c r="D29" i="22" s="1"/>
  <c r="BD108" i="8"/>
  <c r="BX108" i="8" s="1"/>
  <c r="O17" i="10"/>
  <c r="C16" i="16" s="1"/>
  <c r="M52" i="11"/>
  <c r="C43" i="15" s="1"/>
  <c r="P44" i="10"/>
  <c r="D43" i="16" s="1"/>
  <c r="BA125" i="8"/>
  <c r="AB42" i="9"/>
  <c r="AG42" i="9" s="1"/>
  <c r="X48" i="10"/>
  <c r="P26" i="10"/>
  <c r="U26" i="10" s="1"/>
  <c r="D25" i="22" s="1"/>
  <c r="BB103" i="8"/>
  <c r="BV103" i="8" s="1"/>
  <c r="AB68" i="9"/>
  <c r="AG68" i="9" s="1"/>
  <c r="BL11" i="22"/>
  <c r="I31" i="16"/>
  <c r="AL53" i="9"/>
  <c r="P24" i="10"/>
  <c r="U24" i="10" s="1"/>
  <c r="D23" i="22" s="1"/>
  <c r="AK39" i="9"/>
  <c r="I25" i="16"/>
  <c r="AB39" i="9"/>
  <c r="AG39" i="9" s="1"/>
  <c r="BC102" i="8"/>
  <c r="BW102" i="8" s="1"/>
  <c r="K31" i="12"/>
  <c r="I25" i="22" s="1"/>
  <c r="BH100" i="8"/>
  <c r="CB100" i="8" s="1"/>
  <c r="M50" i="13"/>
  <c r="BB102" i="8"/>
  <c r="BV102" i="8" s="1"/>
  <c r="P19" i="10"/>
  <c r="D18" i="16" s="1"/>
  <c r="AD39" i="9"/>
  <c r="AI39" i="9" s="1"/>
  <c r="M57" i="11"/>
  <c r="P57" i="11" s="1"/>
  <c r="J48" i="22" s="1"/>
  <c r="O49" i="10"/>
  <c r="T49" i="10" s="1"/>
  <c r="C48" i="22" s="1"/>
  <c r="BF119" i="8"/>
  <c r="BZ119" i="8" s="1"/>
  <c r="AB69" i="9"/>
  <c r="AG69" i="9" s="1"/>
  <c r="BE119" i="8"/>
  <c r="BY119" i="8" s="1"/>
  <c r="BH130" i="8"/>
  <c r="CB130" i="8" s="1"/>
  <c r="BG119" i="8"/>
  <c r="CA119" i="8" s="1"/>
  <c r="BH118" i="8"/>
  <c r="CB118" i="8" s="1"/>
  <c r="M13" i="13"/>
  <c r="N50" i="13"/>
  <c r="BF121" i="8"/>
  <c r="BZ121" i="8" s="1"/>
  <c r="AZ99" i="8"/>
  <c r="BK99" i="8" s="1"/>
  <c r="BD99" i="8"/>
  <c r="BX99" i="8" s="1"/>
  <c r="BA99" i="8"/>
  <c r="BU99" i="8" s="1"/>
  <c r="BA121" i="8"/>
  <c r="BU121" i="8" s="1"/>
  <c r="BG95" i="8"/>
  <c r="BM95" i="8" s="1"/>
  <c r="AV11" i="22"/>
  <c r="X45" i="10"/>
  <c r="O40" i="10"/>
  <c r="T40" i="10" s="1"/>
  <c r="C39" i="22" s="1"/>
  <c r="BC108" i="8"/>
  <c r="BW108" i="8" s="1"/>
  <c r="BD95" i="8"/>
  <c r="BX95" i="8" s="1"/>
  <c r="AM11" i="22"/>
  <c r="X40" i="10"/>
  <c r="BC95" i="8"/>
  <c r="BW95" i="8" s="1"/>
  <c r="BE11" i="22"/>
  <c r="BC11" i="22"/>
  <c r="AK43" i="9"/>
  <c r="BG104" i="8"/>
  <c r="CA104" i="8" s="1"/>
  <c r="CD11" i="22"/>
  <c r="BB98" i="8"/>
  <c r="BV98" i="8" s="1"/>
  <c r="BF11" i="22"/>
  <c r="AB43" i="9"/>
  <c r="AG43" i="9" s="1"/>
  <c r="BR11" i="22"/>
  <c r="M25" i="11"/>
  <c r="C16" i="15" s="1"/>
  <c r="AD63" i="9"/>
  <c r="AI63" i="9" s="1"/>
  <c r="P23" i="10"/>
  <c r="U23" i="10" s="1"/>
  <c r="D22" i="22" s="1"/>
  <c r="AK37" i="9"/>
  <c r="BH104" i="8"/>
  <c r="CB104" i="8" s="1"/>
  <c r="BB94" i="8"/>
  <c r="BV94" i="8" s="1"/>
  <c r="M27" i="11"/>
  <c r="C18" i="15" s="1"/>
  <c r="BH99" i="8"/>
  <c r="CB99" i="8" s="1"/>
  <c r="BF100" i="8"/>
  <c r="BZ100" i="8" s="1"/>
  <c r="N18" i="10"/>
  <c r="S18" i="10" s="1"/>
  <c r="AC59" i="9"/>
  <c r="AH59" i="9" s="1"/>
  <c r="AM39" i="9"/>
  <c r="AM38" i="9"/>
  <c r="BB99" i="8"/>
  <c r="BV99" i="8" s="1"/>
  <c r="K5" i="14"/>
  <c r="K11" i="14" s="1"/>
  <c r="J12" i="14" s="1"/>
  <c r="K12" i="14" s="1"/>
  <c r="J13" i="14" s="1"/>
  <c r="K13" i="14" s="1"/>
  <c r="J14" i="14" s="1"/>
  <c r="K14" i="14" s="1"/>
  <c r="J15" i="14" s="1"/>
  <c r="K15" i="14" s="1"/>
  <c r="J16" i="14" s="1"/>
  <c r="K16" i="14" s="1"/>
  <c r="AB38" i="9"/>
  <c r="AG38" i="9" s="1"/>
  <c r="O18" i="10"/>
  <c r="T18" i="10" s="1"/>
  <c r="C17" i="22" s="1"/>
  <c r="BC115" i="8"/>
  <c r="BW115" i="8" s="1"/>
  <c r="BH116" i="8"/>
  <c r="CB116" i="8" s="1"/>
  <c r="BE99" i="8"/>
  <c r="BY99" i="8" s="1"/>
  <c r="P18" i="10"/>
  <c r="U18" i="10" s="1"/>
  <c r="D17" i="22" s="1"/>
  <c r="C19" i="13"/>
  <c r="I12" i="16"/>
  <c r="I48" i="16"/>
  <c r="AK59" i="9"/>
  <c r="AL36" i="9"/>
  <c r="BB113" i="8"/>
  <c r="BV113" i="8" s="1"/>
  <c r="BB123" i="8"/>
  <c r="BV123" i="8" s="1"/>
  <c r="X18" i="10"/>
  <c r="C25" i="13"/>
  <c r="F14" i="13"/>
  <c r="K54" i="12"/>
  <c r="I48" i="22" s="1"/>
  <c r="AZ93" i="8"/>
  <c r="BT93" i="8" s="1"/>
  <c r="BD120" i="8"/>
  <c r="H38" i="16" s="1"/>
  <c r="BD115" i="8"/>
  <c r="BX115" i="8" s="1"/>
  <c r="AZ117" i="8"/>
  <c r="BT117" i="8" s="1"/>
  <c r="AC36" i="9"/>
  <c r="AH36" i="9" s="1"/>
  <c r="N35" i="10"/>
  <c r="S35" i="10" s="1"/>
  <c r="AK65" i="9"/>
  <c r="AD52" i="9"/>
  <c r="AI52" i="9" s="1"/>
  <c r="X42" i="10"/>
  <c r="BC99" i="8"/>
  <c r="BW99" i="8" s="1"/>
  <c r="BE125" i="8"/>
  <c r="BY125" i="8" s="1"/>
  <c r="BH95" i="8"/>
  <c r="CB95" i="8" s="1"/>
  <c r="BD93" i="8"/>
  <c r="BX93" i="8" s="1"/>
  <c r="AZ120" i="8"/>
  <c r="BK120" i="8" s="1"/>
  <c r="AM54" i="9"/>
  <c r="BF117" i="8"/>
  <c r="BZ117" i="8" s="1"/>
  <c r="BA97" i="8"/>
  <c r="BU97" i="8" s="1"/>
  <c r="O35" i="10"/>
  <c r="C34" i="16" s="1"/>
  <c r="BA126" i="8"/>
  <c r="BU126" i="8" s="1"/>
  <c r="BC113" i="8"/>
  <c r="BW113" i="8" s="1"/>
  <c r="P42" i="10"/>
  <c r="D41" i="16" s="1"/>
  <c r="AD38" i="9"/>
  <c r="AI38" i="9" s="1"/>
  <c r="M26" i="11"/>
  <c r="S26" i="11" s="1"/>
  <c r="E19" i="13" s="1"/>
  <c r="AL38" i="9"/>
  <c r="X14" i="10"/>
  <c r="AG11" i="22"/>
  <c r="AQ2" i="22" s="1"/>
  <c r="BH121" i="8"/>
  <c r="CB121" i="8" s="1"/>
  <c r="X23" i="10"/>
  <c r="AM50" i="9"/>
  <c r="AL43" i="9"/>
  <c r="BB104" i="8"/>
  <c r="BV104" i="8" s="1"/>
  <c r="AC64" i="9"/>
  <c r="AH64" i="9" s="1"/>
  <c r="X13" i="10"/>
  <c r="C40" i="13"/>
  <c r="BH125" i="8"/>
  <c r="CB125" i="8" s="1"/>
  <c r="BE103" i="8"/>
  <c r="BY103" i="8" s="1"/>
  <c r="BB95" i="8"/>
  <c r="BV95" i="8" s="1"/>
  <c r="BB93" i="8"/>
  <c r="BV93" i="8" s="1"/>
  <c r="BH106" i="8"/>
  <c r="CB106" i="8" s="1"/>
  <c r="P45" i="10"/>
  <c r="D44" i="16" s="1"/>
  <c r="AD46" i="9"/>
  <c r="AI46" i="9" s="1"/>
  <c r="X24" i="10"/>
  <c r="BG125" i="8"/>
  <c r="CA125" i="8" s="1"/>
  <c r="BF95" i="8"/>
  <c r="BZ95" i="8" s="1"/>
  <c r="X12" i="10"/>
  <c r="N25" i="10"/>
  <c r="S25" i="10" s="1"/>
  <c r="BA114" i="8"/>
  <c r="BU114" i="8" s="1"/>
  <c r="BB124" i="8"/>
  <c r="BV124" i="8" s="1"/>
  <c r="BH126" i="8"/>
  <c r="CB126" i="8" s="1"/>
  <c r="BF113" i="8"/>
  <c r="BZ113" i="8" s="1"/>
  <c r="BG123" i="8"/>
  <c r="BM123" i="8" s="1"/>
  <c r="BA102" i="8"/>
  <c r="BU102" i="8" s="1"/>
  <c r="X43" i="10"/>
  <c r="N44" i="10"/>
  <c r="S44" i="10" s="1"/>
  <c r="AM63" i="9"/>
  <c r="C26" i="13"/>
  <c r="BD125" i="8"/>
  <c r="H43" i="16" s="1"/>
  <c r="AK34" i="9"/>
  <c r="AB32" i="9"/>
  <c r="AG32" i="9" s="1"/>
  <c r="AL59" i="9"/>
  <c r="X25" i="10"/>
  <c r="BE115" i="8"/>
  <c r="BY115" i="8" s="1"/>
  <c r="BF130" i="8"/>
  <c r="BZ130" i="8" s="1"/>
  <c r="BC100" i="8"/>
  <c r="BW100" i="8" s="1"/>
  <c r="BF114" i="8"/>
  <c r="BZ114" i="8" s="1"/>
  <c r="AC63" i="9"/>
  <c r="AH63" i="9" s="1"/>
  <c r="AC65" i="9"/>
  <c r="AH65" i="9" s="1"/>
  <c r="N32" i="10"/>
  <c r="B31" i="16" s="1"/>
  <c r="AK62" i="9"/>
  <c r="AM41" i="9"/>
  <c r="AL63" i="9"/>
  <c r="AC62" i="9"/>
  <c r="AH62" i="9" s="1"/>
  <c r="X21" i="10"/>
  <c r="BF97" i="8"/>
  <c r="BZ97" i="8" s="1"/>
  <c r="M51" i="11"/>
  <c r="AC60" i="9"/>
  <c r="AH60" i="9" s="1"/>
  <c r="I36" i="16"/>
  <c r="K42" i="12"/>
  <c r="I36" i="22" s="1"/>
  <c r="BC109" i="8"/>
  <c r="BW109" i="8" s="1"/>
  <c r="BX11" i="22"/>
  <c r="BH97" i="8"/>
  <c r="CB97" i="8" s="1"/>
  <c r="AD61" i="9"/>
  <c r="AI61" i="9" s="1"/>
  <c r="AC35" i="9"/>
  <c r="AH35" i="9" s="1"/>
  <c r="BF112" i="8"/>
  <c r="BZ112" i="8" s="1"/>
  <c r="M49" i="11"/>
  <c r="C40" i="15" s="1"/>
  <c r="AK70" i="9"/>
  <c r="AB44" i="9"/>
  <c r="AG44" i="9" s="1"/>
  <c r="BA131" i="8"/>
  <c r="BU131" i="8" s="1"/>
  <c r="O44" i="10"/>
  <c r="T44" i="10" s="1"/>
  <c r="C43" i="22" s="1"/>
  <c r="AZ95" i="8"/>
  <c r="BK95" i="8" s="1"/>
  <c r="BB131" i="8"/>
  <c r="BV131" i="8" s="1"/>
  <c r="BK11" i="22"/>
  <c r="M11" i="14"/>
  <c r="AK50" i="9"/>
  <c r="AL35" i="9"/>
  <c r="AD62" i="9"/>
  <c r="AI62" i="9" s="1"/>
  <c r="AK44" i="9"/>
  <c r="O15" i="10"/>
  <c r="T15" i="10" s="1"/>
  <c r="C14" i="22" s="1"/>
  <c r="BE123" i="8"/>
  <c r="BY123" i="8" s="1"/>
  <c r="BA105" i="8"/>
  <c r="BU105" i="8" s="1"/>
  <c r="BA128" i="8"/>
  <c r="BU128" i="8" s="1"/>
  <c r="P50" i="10"/>
  <c r="D49" i="16" s="1"/>
  <c r="BF105" i="8"/>
  <c r="BZ105" i="8" s="1"/>
  <c r="CE11" i="22"/>
  <c r="N36" i="10"/>
  <c r="S36" i="10" s="1"/>
  <c r="BG114" i="8"/>
  <c r="CA114" i="8" s="1"/>
  <c r="BC124" i="8"/>
  <c r="BW124" i="8" s="1"/>
  <c r="BD126" i="8"/>
  <c r="H44" i="16" s="1"/>
  <c r="BB127" i="8"/>
  <c r="BV127" i="8" s="1"/>
  <c r="X11" i="10"/>
  <c r="BC123" i="8"/>
  <c r="BW123" i="8" s="1"/>
  <c r="AL44" i="9"/>
  <c r="M22" i="11"/>
  <c r="J13" i="16" s="1"/>
  <c r="AD59" i="9"/>
  <c r="AI59" i="9" s="1"/>
  <c r="AL45" i="9"/>
  <c r="BH11" i="22"/>
  <c r="O36" i="10"/>
  <c r="T36" i="10" s="1"/>
  <c r="C35" i="22" s="1"/>
  <c r="AD53" i="9"/>
  <c r="AI53" i="9" s="1"/>
  <c r="BE124" i="8"/>
  <c r="BY124" i="8" s="1"/>
  <c r="BB126" i="8"/>
  <c r="BV126" i="8" s="1"/>
  <c r="AZ127" i="8"/>
  <c r="BT127" i="8" s="1"/>
  <c r="AC31" i="9"/>
  <c r="AH31" i="9" s="1"/>
  <c r="N27" i="10"/>
  <c r="B26" i="16" s="1"/>
  <c r="M48" i="13"/>
  <c r="M44" i="11"/>
  <c r="C36" i="14" s="1"/>
  <c r="BH114" i="8"/>
  <c r="CB114" i="8" s="1"/>
  <c r="BA124" i="8"/>
  <c r="BU124" i="8" s="1"/>
  <c r="O45" i="10"/>
  <c r="T45" i="10" s="1"/>
  <c r="C44" i="22" s="1"/>
  <c r="M34" i="11"/>
  <c r="S34" i="11" s="1"/>
  <c r="E27" i="13" s="1"/>
  <c r="P27" i="10"/>
  <c r="D26" i="16" s="1"/>
  <c r="K19" i="12"/>
  <c r="I13" i="22" s="1"/>
  <c r="AC47" i="9"/>
  <c r="AH47" i="9" s="1"/>
  <c r="BG113" i="8"/>
  <c r="CA113" i="8" s="1"/>
  <c r="M40" i="11"/>
  <c r="P40" i="11" s="1"/>
  <c r="J31" i="22" s="1"/>
  <c r="BG98" i="8"/>
  <c r="BM98" i="8" s="1"/>
  <c r="BE113" i="8"/>
  <c r="BY113" i="8" s="1"/>
  <c r="BF131" i="8"/>
  <c r="BZ131" i="8" s="1"/>
  <c r="P32" i="10"/>
  <c r="D31" i="16" s="1"/>
  <c r="BC131" i="8"/>
  <c r="BW131" i="8" s="1"/>
  <c r="X32" i="10"/>
  <c r="BE131" i="8"/>
  <c r="BY131" i="8" s="1"/>
  <c r="AL70" i="9"/>
  <c r="AD70" i="9"/>
  <c r="AI70" i="9" s="1"/>
  <c r="M45" i="11"/>
  <c r="C36" i="15" s="1"/>
  <c r="BG118" i="8"/>
  <c r="CA118" i="8" s="1"/>
  <c r="AB70" i="9"/>
  <c r="AG70" i="9" s="1"/>
  <c r="AO11" i="22"/>
  <c r="BD130" i="8"/>
  <c r="H48" i="16" s="1"/>
  <c r="BB100" i="8"/>
  <c r="BV100" i="8" s="1"/>
  <c r="M12" i="16"/>
  <c r="BF116" i="8"/>
  <c r="BZ116" i="8" s="1"/>
  <c r="AC50" i="9"/>
  <c r="AH50" i="9" s="1"/>
  <c r="BA96" i="8"/>
  <c r="BU96" i="8" s="1"/>
  <c r="AL62" i="9"/>
  <c r="AZ94" i="8"/>
  <c r="BT94" i="8" s="1"/>
  <c r="N37" i="10"/>
  <c r="B36" i="16" s="1"/>
  <c r="BG131" i="8"/>
  <c r="BM131" i="8" s="1"/>
  <c r="BH131" i="8"/>
  <c r="CB131" i="8" s="1"/>
  <c r="BH105" i="8"/>
  <c r="CB105" i="8" s="1"/>
  <c r="O38" i="10"/>
  <c r="T38" i="10" s="1"/>
  <c r="C37" i="22" s="1"/>
  <c r="BG107" i="8"/>
  <c r="BM107" i="8" s="1"/>
  <c r="AK47" i="9"/>
  <c r="AZ105" i="8"/>
  <c r="BK105" i="8" s="1"/>
  <c r="C43" i="13"/>
  <c r="AM44" i="9"/>
  <c r="C36" i="13"/>
  <c r="BH119" i="8"/>
  <c r="CB119" i="8" s="1"/>
  <c r="O33" i="10"/>
  <c r="T33" i="10" s="1"/>
  <c r="C32" i="22" s="1"/>
  <c r="M29" i="11"/>
  <c r="S29" i="11" s="1"/>
  <c r="E22" i="13" s="1"/>
  <c r="C23" i="13"/>
  <c r="C28" i="13"/>
  <c r="AL51" i="9"/>
  <c r="K51" i="12"/>
  <c r="I45" i="22" s="1"/>
  <c r="AZ92" i="8"/>
  <c r="BT92" i="8" s="1"/>
  <c r="BC105" i="8"/>
  <c r="BW105" i="8" s="1"/>
  <c r="BA112" i="8"/>
  <c r="BU112" i="8" s="1"/>
  <c r="N38" i="10"/>
  <c r="B37" i="16" s="1"/>
  <c r="C27" i="13"/>
  <c r="C18" i="13"/>
  <c r="M42" i="11"/>
  <c r="J33" i="16" s="1"/>
  <c r="AD37" i="9"/>
  <c r="AI37" i="9" s="1"/>
  <c r="BA116" i="8"/>
  <c r="BU116" i="8" s="1"/>
  <c r="BD119" i="8"/>
  <c r="H37" i="16" s="1"/>
  <c r="BC107" i="8"/>
  <c r="BW107" i="8" s="1"/>
  <c r="O11" i="10"/>
  <c r="T11" i="10" s="1"/>
  <c r="X27" i="10"/>
  <c r="AC44" i="9"/>
  <c r="AH44" i="9" s="1"/>
  <c r="BB118" i="8"/>
  <c r="BV118" i="8" s="1"/>
  <c r="AK67" i="9"/>
  <c r="N49" i="13"/>
  <c r="BD128" i="8"/>
  <c r="H46" i="16" s="1"/>
  <c r="AD36" i="9"/>
  <c r="AI36" i="9" s="1"/>
  <c r="BC114" i="8"/>
  <c r="BW114" i="8" s="1"/>
  <c r="BD116" i="8"/>
  <c r="BX116" i="8" s="1"/>
  <c r="AZ122" i="8"/>
  <c r="BK122" i="8" s="1"/>
  <c r="BA119" i="8"/>
  <c r="BU119" i="8" s="1"/>
  <c r="BH92" i="8"/>
  <c r="CB92" i="8" s="1"/>
  <c r="M50" i="11"/>
  <c r="C42" i="14" s="1"/>
  <c r="AM43" i="9"/>
  <c r="BG102" i="8"/>
  <c r="CA102" i="8" s="1"/>
  <c r="M55" i="11"/>
  <c r="P55" i="11" s="1"/>
  <c r="J46" i="22" s="1"/>
  <c r="F34" i="13"/>
  <c r="AX11" i="22"/>
  <c r="BE130" i="8"/>
  <c r="BY130" i="8" s="1"/>
  <c r="BG100" i="8"/>
  <c r="CA100" i="8" s="1"/>
  <c r="N16" i="10"/>
  <c r="S16" i="10" s="1"/>
  <c r="P33" i="10"/>
  <c r="D32" i="16" s="1"/>
  <c r="BH124" i="8"/>
  <c r="CB124" i="8" s="1"/>
  <c r="BG111" i="8"/>
  <c r="BM111" i="8" s="1"/>
  <c r="AM52" i="9"/>
  <c r="F15" i="13"/>
  <c r="BB108" i="8"/>
  <c r="BV108" i="8" s="1"/>
  <c r="BB105" i="8"/>
  <c r="BV105" i="8" s="1"/>
  <c r="M39" i="11"/>
  <c r="J30" i="16" s="1"/>
  <c r="AZ100" i="8"/>
  <c r="BK100" i="8" s="1"/>
  <c r="AZ124" i="8"/>
  <c r="BK124" i="8" s="1"/>
  <c r="BH113" i="8"/>
  <c r="CB113" i="8" s="1"/>
  <c r="BB110" i="8"/>
  <c r="BV110" i="8" s="1"/>
  <c r="BG108" i="8"/>
  <c r="BM108" i="8" s="1"/>
  <c r="AD44" i="9"/>
  <c r="AI44" i="9" s="1"/>
  <c r="K32" i="12"/>
  <c r="I26" i="22" s="1"/>
  <c r="BQ11" i="22"/>
  <c r="N49" i="10"/>
  <c r="S49" i="10" s="1"/>
  <c r="BE100" i="8"/>
  <c r="BY100" i="8" s="1"/>
  <c r="BD124" i="8"/>
  <c r="H42" i="16" s="1"/>
  <c r="F49" i="13"/>
  <c r="AQ11" i="22"/>
  <c r="N19" i="10"/>
  <c r="B18" i="16" s="1"/>
  <c r="AB47" i="9"/>
  <c r="AG47" i="9" s="1"/>
  <c r="CB11" i="22"/>
  <c r="BA100" i="8"/>
  <c r="BU100" i="8" s="1"/>
  <c r="X47" i="10"/>
  <c r="AZ11" i="22"/>
  <c r="AZ97" i="8"/>
  <c r="BT97" i="8" s="1"/>
  <c r="M12" i="15"/>
  <c r="BG122" i="8"/>
  <c r="CA122" i="8" s="1"/>
  <c r="K27" i="12"/>
  <c r="I21" i="22" s="1"/>
  <c r="AD67" i="9"/>
  <c r="AI67" i="9" s="1"/>
  <c r="O47" i="10"/>
  <c r="T47" i="10" s="1"/>
  <c r="C46" i="22" s="1"/>
  <c r="BA11" i="22"/>
  <c r="BE97" i="8"/>
  <c r="BY97" i="8" s="1"/>
  <c r="M12" i="22"/>
  <c r="BE122" i="8"/>
  <c r="BY122" i="8" s="1"/>
  <c r="AD58" i="9"/>
  <c r="AI58" i="9" s="1"/>
  <c r="P47" i="10"/>
  <c r="U47" i="10" s="1"/>
  <c r="D46" i="22" s="1"/>
  <c r="CG11" i="22"/>
  <c r="BF107" i="8"/>
  <c r="BZ107" i="8" s="1"/>
  <c r="CA11" i="22"/>
  <c r="N41" i="10"/>
  <c r="S41" i="10" s="1"/>
  <c r="BD107" i="8"/>
  <c r="BX107" i="8" s="1"/>
  <c r="P29" i="10"/>
  <c r="D28" i="16" s="1"/>
  <c r="BE112" i="8"/>
  <c r="BY112" i="8" s="1"/>
  <c r="AM67" i="9"/>
  <c r="CC11" i="22"/>
  <c r="BH122" i="8"/>
  <c r="CB122" i="8" s="1"/>
  <c r="BH107" i="8"/>
  <c r="CB107" i="8" s="1"/>
  <c r="AP11" i="22"/>
  <c r="BE107" i="8"/>
  <c r="BY107" i="8" s="1"/>
  <c r="CH11" i="22"/>
  <c r="BU11" i="22"/>
  <c r="BG99" i="8"/>
  <c r="BM99" i="8" s="1"/>
  <c r="BA122" i="8"/>
  <c r="BU122" i="8" s="1"/>
  <c r="BC126" i="8"/>
  <c r="BW126" i="8" s="1"/>
  <c r="AZ110" i="8"/>
  <c r="BK110" i="8" s="1"/>
  <c r="AZ131" i="8"/>
  <c r="BT131" i="8" s="1"/>
  <c r="A12" i="22"/>
  <c r="BZ12" i="22" s="1"/>
  <c r="AC39" i="9"/>
  <c r="AH39" i="9" s="1"/>
  <c r="BF99" i="8"/>
  <c r="BZ99" i="8" s="1"/>
  <c r="P20" i="10"/>
  <c r="AC34" i="9"/>
  <c r="AH34" i="9" s="1"/>
  <c r="AM32" i="9"/>
  <c r="AB59" i="9"/>
  <c r="AG59" i="9" s="1"/>
  <c r="BA109" i="8"/>
  <c r="BU109" i="8" s="1"/>
  <c r="O34" i="10"/>
  <c r="BP11" i="22"/>
  <c r="AK69" i="9"/>
  <c r="AL39" i="9"/>
  <c r="X16" i="10"/>
  <c r="AB61" i="9"/>
  <c r="AG61" i="9" s="1"/>
  <c r="AB65" i="9"/>
  <c r="AG65" i="9" s="1"/>
  <c r="AL50" i="9"/>
  <c r="AK52" i="9"/>
  <c r="BF92" i="8"/>
  <c r="BZ92" i="8" s="1"/>
  <c r="N29" i="10"/>
  <c r="S29" i="10" s="1"/>
  <c r="M35" i="11"/>
  <c r="C26" i="15" s="1"/>
  <c r="M32" i="11"/>
  <c r="P32" i="11" s="1"/>
  <c r="J23" i="22" s="1"/>
  <c r="BH112" i="8"/>
  <c r="CB112" i="8" s="1"/>
  <c r="K33" i="12"/>
  <c r="I27" i="22" s="1"/>
  <c r="AW11" i="22"/>
  <c r="AT11" i="22"/>
  <c r="BD11" i="22"/>
  <c r="M19" i="11"/>
  <c r="J10" i="16" s="1"/>
  <c r="N23" i="10"/>
  <c r="B22" i="16" s="1"/>
  <c r="BM11" i="22"/>
  <c r="BN11" i="22"/>
  <c r="P38" i="10"/>
  <c r="U38" i="10" s="1"/>
  <c r="D37" i="22" s="1"/>
  <c r="P46" i="10"/>
  <c r="U46" i="10" s="1"/>
  <c r="D45" i="22" s="1"/>
  <c r="AL52" i="9"/>
  <c r="BG92" i="8"/>
  <c r="CA92" i="8" s="1"/>
  <c r="BA104" i="8"/>
  <c r="BU104" i="8" s="1"/>
  <c r="BB11" i="22"/>
  <c r="AU11" i="22"/>
  <c r="BY11" i="22"/>
  <c r="X41" i="10"/>
  <c r="AC58" i="9"/>
  <c r="AH58" i="9" s="1"/>
  <c r="M54" i="11"/>
  <c r="S54" i="11" s="1"/>
  <c r="E47" i="13" s="1"/>
  <c r="AB31" i="9"/>
  <c r="AG31" i="9" s="1"/>
  <c r="O23" i="10"/>
  <c r="C22" i="16" s="1"/>
  <c r="BI11" i="22"/>
  <c r="AI11" i="22"/>
  <c r="BA127" i="8"/>
  <c r="BU127" i="8" s="1"/>
  <c r="BD102" i="8"/>
  <c r="BX102" i="8" s="1"/>
  <c r="BS11" i="22"/>
  <c r="BV11" i="22"/>
  <c r="F47" i="13"/>
  <c r="I38" i="16"/>
  <c r="AL11" i="22"/>
  <c r="BW11" i="22"/>
  <c r="X26" i="10"/>
  <c r="AZ121" i="8"/>
  <c r="BK121" i="8" s="1"/>
  <c r="AC67" i="9"/>
  <c r="AH67" i="9" s="1"/>
  <c r="BD129" i="8"/>
  <c r="H47" i="16" s="1"/>
  <c r="BG106" i="8"/>
  <c r="BM106" i="8" s="1"/>
  <c r="BH115" i="8"/>
  <c r="CB115" i="8" s="1"/>
  <c r="BT11" i="22"/>
  <c r="BG11" i="22"/>
  <c r="AK56" i="9"/>
  <c r="AM55" i="9"/>
  <c r="AK63" i="9"/>
  <c r="AZ126" i="8"/>
  <c r="BT126" i="8" s="1"/>
  <c r="AB58" i="9"/>
  <c r="AG58" i="9" s="1"/>
  <c r="AK46" i="9"/>
  <c r="AM60" i="9"/>
  <c r="AK49" i="9"/>
  <c r="N31" i="10"/>
  <c r="S31" i="10" s="1"/>
  <c r="N47" i="10"/>
  <c r="B46" i="16" s="1"/>
  <c r="CF11" i="22"/>
  <c r="O26" i="10"/>
  <c r="C25" i="16" s="1"/>
  <c r="AD60" i="9"/>
  <c r="AI60" i="9" s="1"/>
  <c r="BJ11" i="22"/>
  <c r="N26" i="10"/>
  <c r="S26" i="10" s="1"/>
  <c r="BB121" i="8"/>
  <c r="BV121" i="8" s="1"/>
  <c r="BE128" i="8"/>
  <c r="BY128" i="8" s="1"/>
  <c r="AB46" i="9"/>
  <c r="AG46" i="9" s="1"/>
  <c r="BE121" i="8"/>
  <c r="BY121" i="8" s="1"/>
  <c r="AM46" i="9"/>
  <c r="BB128" i="8"/>
  <c r="BV128" i="8" s="1"/>
  <c r="AJ11" i="22"/>
  <c r="AY11" i="22"/>
  <c r="X49" i="10"/>
  <c r="F33" i="13"/>
  <c r="AC53" i="9"/>
  <c r="AH53" i="9" s="1"/>
  <c r="P41" i="10"/>
  <c r="D40" i="16" s="1"/>
  <c r="AM65" i="9"/>
  <c r="X15" i="10"/>
  <c r="I32" i="16"/>
  <c r="BD104" i="8"/>
  <c r="BX104" i="8" s="1"/>
  <c r="BF128" i="8"/>
  <c r="BZ128" i="8" s="1"/>
  <c r="BG96" i="8"/>
  <c r="BM96" i="8" s="1"/>
  <c r="P31" i="10"/>
  <c r="D30" i="16" s="1"/>
  <c r="BC128" i="8"/>
  <c r="BW128" i="8" s="1"/>
  <c r="AZ102" i="8"/>
  <c r="BT102" i="8" s="1"/>
  <c r="AZ118" i="8"/>
  <c r="BT118" i="8" s="1"/>
  <c r="BE92" i="8"/>
  <c r="BY92" i="8" s="1"/>
  <c r="BC94" i="8"/>
  <c r="BW94" i="8" s="1"/>
  <c r="N21" i="10"/>
  <c r="S21" i="10" s="1"/>
  <c r="O37" i="10"/>
  <c r="C36" i="16" s="1"/>
  <c r="O50" i="10"/>
  <c r="C49" i="16" s="1"/>
  <c r="BG94" i="8"/>
  <c r="CA94" i="8" s="1"/>
  <c r="BE102" i="8"/>
  <c r="BY102" i="8" s="1"/>
  <c r="AB57" i="9"/>
  <c r="AG57" i="9" s="1"/>
  <c r="N14" i="10"/>
  <c r="S14" i="10" s="1"/>
  <c r="I44" i="16"/>
  <c r="P14" i="10"/>
  <c r="D13" i="16" s="1"/>
  <c r="N50" i="10"/>
  <c r="B49" i="16" s="1"/>
  <c r="AM31" i="9"/>
  <c r="F46" i="13"/>
  <c r="O14" i="10"/>
  <c r="C13" i="16" s="1"/>
  <c r="M58" i="11"/>
  <c r="J49" i="16" s="1"/>
  <c r="O41" i="10"/>
  <c r="T41" i="10" s="1"/>
  <c r="C40" i="22" s="1"/>
  <c r="P40" i="10"/>
  <c r="U40" i="10" s="1"/>
  <c r="D39" i="22" s="1"/>
  <c r="M21" i="11"/>
  <c r="J12" i="16" s="1"/>
  <c r="AD41" i="9"/>
  <c r="AI41" i="9" s="1"/>
  <c r="AK57" i="9"/>
  <c r="AK38" i="9"/>
  <c r="C51" i="13"/>
  <c r="BH101" i="8"/>
  <c r="CB101" i="8" s="1"/>
  <c r="AB34" i="9"/>
  <c r="AG34" i="9" s="1"/>
  <c r="O39" i="10"/>
  <c r="T39" i="10" s="1"/>
  <c r="C38" i="22" s="1"/>
  <c r="AM70" i="9"/>
  <c r="BA106" i="8"/>
  <c r="X34" i="10"/>
  <c r="AK11" i="22"/>
  <c r="BO11" i="22"/>
  <c r="X19" i="10"/>
  <c r="P17" i="10"/>
  <c r="D16" i="16" s="1"/>
  <c r="X33" i="10"/>
  <c r="BC122" i="8"/>
  <c r="BW122" i="8" s="1"/>
  <c r="I21" i="16"/>
  <c r="N30" i="10"/>
  <c r="B29" i="16" s="1"/>
  <c r="AL46" i="9"/>
  <c r="BG121" i="8"/>
  <c r="CA121" i="8" s="1"/>
  <c r="BB92" i="8"/>
  <c r="BV92" i="8" s="1"/>
  <c r="F29" i="13"/>
  <c r="AL47" i="9"/>
  <c r="BD105" i="8"/>
  <c r="BX105" i="8" s="1"/>
  <c r="O21" i="10"/>
  <c r="T21" i="10" s="1"/>
  <c r="C20" i="22" s="1"/>
  <c r="BA118" i="8"/>
  <c r="BU118" i="8" s="1"/>
  <c r="BG127" i="8"/>
  <c r="BM127" i="8" s="1"/>
  <c r="BF102" i="8"/>
  <c r="BZ102" i="8" s="1"/>
  <c r="K44" i="12"/>
  <c r="I38" i="22" s="1"/>
  <c r="BD131" i="8"/>
  <c r="H49" i="16" s="1"/>
  <c r="AK66" i="9"/>
  <c r="P15" i="10"/>
  <c r="BE105" i="8"/>
  <c r="BY105" i="8" s="1"/>
  <c r="AC41" i="9"/>
  <c r="AH41" i="9" s="1"/>
  <c r="AC70" i="9"/>
  <c r="AH70" i="9" s="1"/>
  <c r="N46" i="10"/>
  <c r="B45" i="16" s="1"/>
  <c r="BE96" i="8"/>
  <c r="BY96" i="8" s="1"/>
  <c r="AB66" i="9"/>
  <c r="AG66" i="9" s="1"/>
  <c r="I41" i="16"/>
  <c r="BH96" i="8"/>
  <c r="CB96" i="8" s="1"/>
  <c r="BC92" i="8"/>
  <c r="BW92" i="8" s="1"/>
  <c r="BC104" i="8"/>
  <c r="BW104" i="8" s="1"/>
  <c r="BG105" i="8"/>
  <c r="BM105" i="8" s="1"/>
  <c r="BE127" i="8"/>
  <c r="BY127" i="8" s="1"/>
  <c r="F43" i="13"/>
  <c r="BC96" i="8"/>
  <c r="BW96" i="8" s="1"/>
  <c r="BA92" i="8"/>
  <c r="BU92" i="8" s="1"/>
  <c r="BE104" i="8"/>
  <c r="BY104" i="8" s="1"/>
  <c r="AD66" i="9"/>
  <c r="AI66" i="9" s="1"/>
  <c r="AD35" i="9"/>
  <c r="AI35" i="9" s="1"/>
  <c r="BD127" i="8"/>
  <c r="H45" i="16" s="1"/>
  <c r="BF96" i="8"/>
  <c r="BZ96" i="8" s="1"/>
  <c r="O46" i="10"/>
  <c r="T46" i="10" s="1"/>
  <c r="C45" i="22" s="1"/>
  <c r="BD96" i="8"/>
  <c r="BX96" i="8" s="1"/>
  <c r="AL66" i="9"/>
  <c r="AK35" i="9"/>
  <c r="AZ96" i="8"/>
  <c r="BK96" i="8" s="1"/>
  <c r="BD123" i="8"/>
  <c r="H41" i="16" s="1"/>
  <c r="M31" i="11"/>
  <c r="C23" i="14" s="1"/>
  <c r="AM57" i="9"/>
  <c r="BA98" i="8"/>
  <c r="BU98" i="8" s="1"/>
  <c r="O32" i="10"/>
  <c r="T32" i="10" s="1"/>
  <c r="C31" i="22" s="1"/>
  <c r="F28" i="13"/>
  <c r="F45" i="13"/>
  <c r="BF98" i="8"/>
  <c r="BZ98" i="8" s="1"/>
  <c r="I43" i="16"/>
  <c r="BD98" i="8"/>
  <c r="BX98" i="8" s="1"/>
  <c r="BA113" i="8"/>
  <c r="BU113" i="8" s="1"/>
  <c r="K53" i="12"/>
  <c r="I47" i="22" s="1"/>
  <c r="BE98" i="8"/>
  <c r="BY98" i="8" s="1"/>
  <c r="AB52" i="9"/>
  <c r="AG52" i="9" s="1"/>
  <c r="O24" i="10"/>
  <c r="T24" i="10" s="1"/>
  <c r="C23" i="22" s="1"/>
  <c r="X17" i="10"/>
  <c r="AZ113" i="8"/>
  <c r="BT113" i="8" s="1"/>
  <c r="BH98" i="8"/>
  <c r="CB98" i="8" s="1"/>
  <c r="AC52" i="9"/>
  <c r="AH52" i="9" s="1"/>
  <c r="N17" i="10"/>
  <c r="B16" i="16" s="1"/>
  <c r="BH128" i="8"/>
  <c r="CB128" i="8" s="1"/>
  <c r="AZ98" i="8"/>
  <c r="BK98" i="8" s="1"/>
  <c r="AM66" i="9"/>
  <c r="AL58" i="9"/>
  <c r="BC127" i="8"/>
  <c r="BW127" i="8" s="1"/>
  <c r="AD57" i="9"/>
  <c r="AI57" i="9" s="1"/>
  <c r="AL57" i="9"/>
  <c r="AL67" i="9"/>
  <c r="BF127" i="8"/>
  <c r="BZ127" i="8" s="1"/>
  <c r="AL60" i="9"/>
  <c r="BH110" i="8"/>
  <c r="CB110" i="8" s="1"/>
  <c r="BD94" i="8"/>
  <c r="BX94" i="8" s="1"/>
  <c r="AC57" i="9"/>
  <c r="AH57" i="9" s="1"/>
  <c r="AZ128" i="8"/>
  <c r="BT128" i="8" s="1"/>
  <c r="BH127" i="8"/>
  <c r="CB127" i="8" s="1"/>
  <c r="BD121" i="8"/>
  <c r="BX121" i="8" s="1"/>
  <c r="AD33" i="9"/>
  <c r="AI33" i="9" s="1"/>
  <c r="BA94" i="8"/>
  <c r="BU94" i="8" s="1"/>
  <c r="BD118" i="8"/>
  <c r="BX118" i="8" s="1"/>
  <c r="K52" i="12"/>
  <c r="I46" i="22" s="1"/>
  <c r="AK33" i="9"/>
  <c r="N13" i="10"/>
  <c r="S13" i="10" s="1"/>
  <c r="O13" i="10"/>
  <c r="C12" i="16" s="1"/>
  <c r="P13" i="10"/>
  <c r="G17" i="12"/>
  <c r="F13" i="13" s="1"/>
  <c r="BC121" i="8"/>
  <c r="BW121" i="8" s="1"/>
  <c r="N11" i="10"/>
  <c r="B10" i="16" s="1"/>
  <c r="BE110" i="8"/>
  <c r="BY110" i="8" s="1"/>
  <c r="AZ123" i="8"/>
  <c r="BT123" i="8" s="1"/>
  <c r="BF104" i="8"/>
  <c r="BZ104" i="8" s="1"/>
  <c r="AL33" i="9"/>
  <c r="AB41" i="9"/>
  <c r="AG41" i="9" s="1"/>
  <c r="O31" i="10"/>
  <c r="C30" i="16" s="1"/>
  <c r="M53" i="11"/>
  <c r="S53" i="11" s="1"/>
  <c r="E46" i="13" s="1"/>
  <c r="M48" i="11"/>
  <c r="J39" i="16" s="1"/>
  <c r="BE94" i="8"/>
  <c r="BY94" i="8" s="1"/>
  <c r="C35" i="13"/>
  <c r="C46" i="13"/>
  <c r="BC93" i="8"/>
  <c r="BW93" i="8" s="1"/>
  <c r="X28" i="10"/>
  <c r="AN11" i="22"/>
  <c r="CI11" i="22"/>
  <c r="O19" i="10"/>
  <c r="AB37" i="9"/>
  <c r="AG37" i="9" s="1"/>
  <c r="AK55" i="9"/>
  <c r="AK61" i="9"/>
  <c r="AB50" i="9"/>
  <c r="AG50" i="9" s="1"/>
  <c r="AK60" i="9"/>
  <c r="BD92" i="8"/>
  <c r="BX92" i="8" s="1"/>
  <c r="O42" i="10"/>
  <c r="BH94" i="8"/>
  <c r="CB94" i="8" s="1"/>
  <c r="BG112" i="8"/>
  <c r="AB35" i="9"/>
  <c r="AG35" i="9" s="1"/>
  <c r="P11" i="10"/>
  <c r="U11" i="10" s="1"/>
  <c r="AB33" i="9"/>
  <c r="AG33" i="9" s="1"/>
  <c r="BF118" i="8"/>
  <c r="BZ118" i="8" s="1"/>
  <c r="BH108" i="8"/>
  <c r="CB108" i="8" s="1"/>
  <c r="BE118" i="8"/>
  <c r="BY118" i="8" s="1"/>
  <c r="AB67" i="9"/>
  <c r="AG67" i="9" s="1"/>
  <c r="M46" i="11"/>
  <c r="J37" i="16" s="1"/>
  <c r="N15" i="10"/>
  <c r="B14" i="16" s="1"/>
  <c r="BE108" i="8"/>
  <c r="BY108" i="8" s="1"/>
  <c r="BC118" i="8"/>
  <c r="BW118" i="8" s="1"/>
  <c r="AZ108" i="8"/>
  <c r="BE126" i="8"/>
  <c r="BY126" i="8" s="1"/>
  <c r="X46" i="10"/>
  <c r="N40" i="10"/>
  <c r="B39" i="16" s="1"/>
  <c r="AC33" i="9"/>
  <c r="AH33" i="9" s="1"/>
  <c r="BF94" i="8"/>
  <c r="BZ94" i="8" s="1"/>
  <c r="I42" i="16"/>
  <c r="K39" i="12"/>
  <c r="I33" i="22" s="1"/>
  <c r="F35" i="13"/>
  <c r="K48" i="12"/>
  <c r="I42" i="22" s="1"/>
  <c r="BU101" i="8"/>
  <c r="U39" i="10"/>
  <c r="D38" i="22" s="1"/>
  <c r="D38" i="16"/>
  <c r="S25" i="11"/>
  <c r="BT106" i="8"/>
  <c r="BK106" i="8"/>
  <c r="D11" i="16"/>
  <c r="C25" i="14"/>
  <c r="C24" i="15"/>
  <c r="S20" i="10"/>
  <c r="B19" i="16"/>
  <c r="P52" i="11"/>
  <c r="J43" i="22" s="1"/>
  <c r="C34" i="15"/>
  <c r="S43" i="11"/>
  <c r="E36" i="13" s="1"/>
  <c r="CA129" i="8"/>
  <c r="BK130" i="8"/>
  <c r="U35" i="10"/>
  <c r="D34" i="22" s="1"/>
  <c r="BM110" i="8"/>
  <c r="I40" i="16"/>
  <c r="F42" i="13"/>
  <c r="K46" i="12"/>
  <c r="I40" i="22" s="1"/>
  <c r="BK101" i="8"/>
  <c r="T48" i="10"/>
  <c r="C47" i="22" s="1"/>
  <c r="BU120" i="8"/>
  <c r="S28" i="10"/>
  <c r="B27" i="16"/>
  <c r="G14" i="15"/>
  <c r="F15" i="15" s="1"/>
  <c r="G15" i="15" s="1"/>
  <c r="P37" i="11"/>
  <c r="J28" i="22" s="1"/>
  <c r="S37" i="11"/>
  <c r="E30" i="13" s="1"/>
  <c r="J28" i="16"/>
  <c r="C28" i="16"/>
  <c r="T29" i="10"/>
  <c r="C28" i="22" s="1"/>
  <c r="I39" i="16"/>
  <c r="K45" i="12"/>
  <c r="I39" i="22" s="1"/>
  <c r="F41" i="13"/>
  <c r="BK104" i="8"/>
  <c r="BT104" i="8"/>
  <c r="C21" i="16"/>
  <c r="AN40" i="9"/>
  <c r="AO40" i="9" s="1"/>
  <c r="C28" i="14"/>
  <c r="C15" i="14"/>
  <c r="P23" i="11"/>
  <c r="J14" i="22" s="1"/>
  <c r="C14" i="15"/>
  <c r="M3" i="5" a="1"/>
  <c r="U37" i="10"/>
  <c r="D36" i="22" s="1"/>
  <c r="CA128" i="8"/>
  <c r="BM128" i="8"/>
  <c r="BT103" i="8"/>
  <c r="BK103" i="8"/>
  <c r="BU95" i="8"/>
  <c r="BM93" i="8"/>
  <c r="CA93" i="8"/>
  <c r="CA120" i="8"/>
  <c r="BM120" i="8"/>
  <c r="U28" i="10"/>
  <c r="D27" i="22" s="1"/>
  <c r="BM124" i="8"/>
  <c r="C27" i="16"/>
  <c r="T28" i="10"/>
  <c r="C27" i="22" s="1"/>
  <c r="BM116" i="8"/>
  <c r="CA116" i="8"/>
  <c r="CA101" i="8"/>
  <c r="BM101" i="8"/>
  <c r="BK115" i="8"/>
  <c r="BT115" i="8"/>
  <c r="B44" i="16"/>
  <c r="Q11" i="13"/>
  <c r="P11" i="13"/>
  <c r="U25" i="10"/>
  <c r="D24" i="22" s="1"/>
  <c r="BM115" i="8"/>
  <c r="D35" i="16"/>
  <c r="T16" i="10"/>
  <c r="C15" i="22" s="1"/>
  <c r="C15" i="16"/>
  <c r="AI31" i="9"/>
  <c r="BU125" i="8"/>
  <c r="BT129" i="8"/>
  <c r="BK129" i="8"/>
  <c r="S47" i="11"/>
  <c r="E40" i="13" s="1"/>
  <c r="J38" i="16"/>
  <c r="C39" i="14"/>
  <c r="C38" i="15"/>
  <c r="P47" i="11"/>
  <c r="J38" i="22" s="1"/>
  <c r="H35" i="16"/>
  <c r="BY117" i="8"/>
  <c r="P38" i="11"/>
  <c r="J29" i="22" s="1"/>
  <c r="C30" i="14"/>
  <c r="C29" i="15"/>
  <c r="J29" i="16"/>
  <c r="S38" i="11"/>
  <c r="E31" i="13" s="1"/>
  <c r="BU107" i="8"/>
  <c r="AN41" i="9"/>
  <c r="AO41" i="9" s="1"/>
  <c r="BK112" i="8"/>
  <c r="BT112" i="8"/>
  <c r="CA130" i="8"/>
  <c r="BM130" i="8"/>
  <c r="D20" i="16"/>
  <c r="U21" i="10"/>
  <c r="D20" i="22" s="1"/>
  <c r="CA103" i="8"/>
  <c r="CA126" i="8"/>
  <c r="T27" i="10"/>
  <c r="C26" i="22" s="1"/>
  <c r="C26" i="16"/>
  <c r="B23" i="16"/>
  <c r="S24" i="10"/>
  <c r="C19" i="15"/>
  <c r="S28" i="11"/>
  <c r="E21" i="13" s="1"/>
  <c r="C47" i="15"/>
  <c r="C48" i="14"/>
  <c r="J47" i="16"/>
  <c r="T25" i="10"/>
  <c r="C24" i="22" s="1"/>
  <c r="C24" i="16"/>
  <c r="U22" i="10"/>
  <c r="D21" i="22" s="1"/>
  <c r="D21" i="16"/>
  <c r="B38" i="16"/>
  <c r="S39" i="10"/>
  <c r="P24" i="11"/>
  <c r="J15" i="22" s="1"/>
  <c r="J15" i="16"/>
  <c r="C15" i="15"/>
  <c r="U43" i="10"/>
  <c r="D42" i="22" s="1"/>
  <c r="D42" i="16"/>
  <c r="BK111" i="8"/>
  <c r="BT111" i="8"/>
  <c r="BU123" i="8"/>
  <c r="J15" i="15"/>
  <c r="K15" i="15" s="1"/>
  <c r="S48" i="10" l="1"/>
  <c r="D47" i="16"/>
  <c r="P36" i="11"/>
  <c r="J27" i="22" s="1"/>
  <c r="P33" i="11"/>
  <c r="J24" i="22" s="1"/>
  <c r="T12" i="10"/>
  <c r="C11" i="22" s="1"/>
  <c r="C27" i="15"/>
  <c r="S33" i="11"/>
  <c r="E26" i="13" s="1"/>
  <c r="P43" i="11"/>
  <c r="J34" i="22" s="1"/>
  <c r="U45" i="10"/>
  <c r="D44" i="22" s="1"/>
  <c r="C44" i="14"/>
  <c r="C35" i="14"/>
  <c r="C17" i="16"/>
  <c r="B17" i="16"/>
  <c r="B11" i="16"/>
  <c r="C19" i="16"/>
  <c r="BM104" i="8"/>
  <c r="H22" i="15" s="1"/>
  <c r="I22" i="15" s="1"/>
  <c r="U34" i="10"/>
  <c r="D33" i="22" s="1"/>
  <c r="D22" i="16"/>
  <c r="C20" i="14"/>
  <c r="P28" i="11"/>
  <c r="J19" i="22" s="1"/>
  <c r="C48" i="15"/>
  <c r="S27" i="10"/>
  <c r="B26" i="22" s="1"/>
  <c r="Q28" i="10"/>
  <c r="B27" i="15" s="1"/>
  <c r="AN34" i="9"/>
  <c r="AO34" i="9" s="1"/>
  <c r="BT114" i="8"/>
  <c r="CC114" i="8" s="1"/>
  <c r="H32" i="22" s="1"/>
  <c r="CA97" i="8"/>
  <c r="CC97" i="8" s="1"/>
  <c r="H15" i="22" s="1"/>
  <c r="AE15" i="22" s="1"/>
  <c r="CA109" i="8"/>
  <c r="S36" i="11"/>
  <c r="E29" i="13" s="1"/>
  <c r="C28" i="15"/>
  <c r="P41" i="11"/>
  <c r="J32" i="22" s="1"/>
  <c r="S22" i="10"/>
  <c r="B21" i="22" s="1"/>
  <c r="E21" i="22" s="1"/>
  <c r="S27" i="11"/>
  <c r="E20" i="13" s="1"/>
  <c r="BX122" i="8"/>
  <c r="C43" i="14"/>
  <c r="D29" i="16"/>
  <c r="C33" i="14"/>
  <c r="D17" i="16"/>
  <c r="D23" i="16"/>
  <c r="Q12" i="10"/>
  <c r="Q43" i="10"/>
  <c r="BT119" i="8"/>
  <c r="S46" i="11"/>
  <c r="E39" i="13" s="1"/>
  <c r="S51" i="11"/>
  <c r="E44" i="13" s="1"/>
  <c r="S40" i="11"/>
  <c r="E33" i="13" s="1"/>
  <c r="S39" i="11"/>
  <c r="E32" i="13" s="1"/>
  <c r="S50" i="11"/>
  <c r="E43" i="13" s="1"/>
  <c r="J31" i="16"/>
  <c r="P42" i="11"/>
  <c r="J33" i="22" s="1"/>
  <c r="AN51" i="9"/>
  <c r="AO51" i="9" s="1"/>
  <c r="S52" i="11"/>
  <c r="E45" i="13" s="1"/>
  <c r="S41" i="11"/>
  <c r="E34" i="13" s="1"/>
  <c r="P27" i="11"/>
  <c r="J18" i="22" s="1"/>
  <c r="J25" i="16"/>
  <c r="S42" i="11"/>
  <c r="E35" i="13" s="1"/>
  <c r="J32" i="16"/>
  <c r="K34" i="12"/>
  <c r="I28" i="22" s="1"/>
  <c r="S45" i="11"/>
  <c r="E38" i="13" s="1"/>
  <c r="BL106" i="8"/>
  <c r="AN56" i="9"/>
  <c r="AO56" i="9" s="1"/>
  <c r="S49" i="11"/>
  <c r="E42" i="13" s="1"/>
  <c r="S48" i="11"/>
  <c r="E41" i="13" s="1"/>
  <c r="AN48" i="9"/>
  <c r="AO48" i="9" s="1"/>
  <c r="BT116" i="8"/>
  <c r="CC116" i="8" s="1"/>
  <c r="H34" i="22" s="1"/>
  <c r="U16" i="10"/>
  <c r="D15" i="22" s="1"/>
  <c r="C29" i="16"/>
  <c r="B41" i="16"/>
  <c r="AN54" i="9"/>
  <c r="AO54" i="9" s="1"/>
  <c r="S44" i="11"/>
  <c r="E37" i="13" s="1"/>
  <c r="J48" i="16"/>
  <c r="K48" i="16" s="1"/>
  <c r="J21" i="16"/>
  <c r="C22" i="14"/>
  <c r="S30" i="11"/>
  <c r="E23" i="13" s="1"/>
  <c r="BM125" i="8"/>
  <c r="BL101" i="8"/>
  <c r="D19" i="15" s="1"/>
  <c r="E19" i="15" s="1"/>
  <c r="AN45" i="9"/>
  <c r="AO45" i="9" s="1"/>
  <c r="CA95" i="8"/>
  <c r="C31" i="15"/>
  <c r="S43" i="10"/>
  <c r="V43" i="10" s="1"/>
  <c r="BM119" i="8"/>
  <c r="H37" i="15" s="1"/>
  <c r="I37" i="15" s="1"/>
  <c r="C49" i="14"/>
  <c r="C29" i="14"/>
  <c r="S32" i="10"/>
  <c r="B31" i="22" s="1"/>
  <c r="BT109" i="8"/>
  <c r="AN42" i="9"/>
  <c r="AO42" i="9" s="1"/>
  <c r="C26" i="14"/>
  <c r="BX120" i="8"/>
  <c r="C42" i="16"/>
  <c r="E42" i="16" s="1"/>
  <c r="I28" i="16"/>
  <c r="BT120" i="8"/>
  <c r="B33" i="16"/>
  <c r="BT125" i="8"/>
  <c r="P34" i="11"/>
  <c r="J25" i="22" s="1"/>
  <c r="BL120" i="8"/>
  <c r="D39" i="14" s="1"/>
  <c r="E39" i="14" s="1"/>
  <c r="C33" i="15"/>
  <c r="U19" i="10"/>
  <c r="D18" i="22" s="1"/>
  <c r="C48" i="16"/>
  <c r="B32" i="16"/>
  <c r="AN59" i="9"/>
  <c r="AO59" i="9" s="1"/>
  <c r="Q35" i="10"/>
  <c r="B35" i="14" s="1"/>
  <c r="BX128" i="8"/>
  <c r="Q18" i="10"/>
  <c r="B18" i="14" s="1"/>
  <c r="BD12" i="22"/>
  <c r="BK93" i="8"/>
  <c r="N11" i="15" s="1"/>
  <c r="J16" i="16"/>
  <c r="BO12" i="22"/>
  <c r="P22" i="11"/>
  <c r="J13" i="22" s="1"/>
  <c r="T17" i="10"/>
  <c r="C16" i="22" s="1"/>
  <c r="C32" i="16"/>
  <c r="T14" i="10"/>
  <c r="C13" i="22" s="1"/>
  <c r="Z17" i="40"/>
  <c r="AB17" i="40" s="1"/>
  <c r="AN69" i="9"/>
  <c r="AO69" i="9" s="1"/>
  <c r="C23" i="15"/>
  <c r="C17" i="15"/>
  <c r="T35" i="10"/>
  <c r="C34" i="22" s="1"/>
  <c r="BM113" i="8"/>
  <c r="H32" i="14" s="1"/>
  <c r="I32" i="14" s="1"/>
  <c r="J43" i="16"/>
  <c r="K43" i="16" s="1"/>
  <c r="C21" i="15"/>
  <c r="P19" i="11"/>
  <c r="J10" i="22" s="1"/>
  <c r="BK117" i="8"/>
  <c r="N36" i="14" s="1"/>
  <c r="P20" i="11"/>
  <c r="J11" i="22" s="1"/>
  <c r="BM102" i="8"/>
  <c r="H20" i="15" s="1"/>
  <c r="I20" i="15" s="1"/>
  <c r="BT99" i="8"/>
  <c r="BM122" i="8"/>
  <c r="H40" i="15" s="1"/>
  <c r="I40" i="15" s="1"/>
  <c r="U49" i="10"/>
  <c r="D48" i="22" s="1"/>
  <c r="BM117" i="8"/>
  <c r="H35" i="15" s="1"/>
  <c r="I35" i="15" s="1"/>
  <c r="AL12" i="22"/>
  <c r="P51" i="11"/>
  <c r="J42" i="22" s="1"/>
  <c r="BY12" i="22"/>
  <c r="BT100" i="8"/>
  <c r="CC100" i="8" s="1"/>
  <c r="H18" i="22" s="1"/>
  <c r="B48" i="16"/>
  <c r="BK97" i="8"/>
  <c r="N15" i="15" s="1"/>
  <c r="Q22" i="10"/>
  <c r="B21" i="15" s="1"/>
  <c r="U33" i="10"/>
  <c r="D32" i="22" s="1"/>
  <c r="D25" i="16"/>
  <c r="C43" i="16"/>
  <c r="B34" i="16"/>
  <c r="E34" i="16" s="1"/>
  <c r="Q44" i="10"/>
  <c r="B44" i="14" s="1"/>
  <c r="BL107" i="8"/>
  <c r="D26" i="14" s="1"/>
  <c r="E26" i="14" s="1"/>
  <c r="C14" i="14"/>
  <c r="C32" i="14"/>
  <c r="C13" i="15"/>
  <c r="C10" i="16"/>
  <c r="C31" i="14"/>
  <c r="C30" i="15"/>
  <c r="BW12" i="22"/>
  <c r="BX125" i="8"/>
  <c r="C18" i="14"/>
  <c r="BX129" i="8"/>
  <c r="CC129" i="8" s="1"/>
  <c r="H47" i="22" s="1"/>
  <c r="S35" i="11"/>
  <c r="E28" i="13" s="1"/>
  <c r="C37" i="14"/>
  <c r="AN63" i="9"/>
  <c r="AO63" i="9" s="1"/>
  <c r="J46" i="16"/>
  <c r="P35" i="11"/>
  <c r="J26" i="22" s="1"/>
  <c r="P25" i="11"/>
  <c r="J16" i="22" s="1"/>
  <c r="CA107" i="8"/>
  <c r="C19" i="14"/>
  <c r="U44" i="10"/>
  <c r="D43" i="22" s="1"/>
  <c r="J42" i="16"/>
  <c r="K42" i="16" s="1"/>
  <c r="BL123" i="8"/>
  <c r="D41" i="15" s="1"/>
  <c r="E41" i="15" s="1"/>
  <c r="C42" i="15"/>
  <c r="BQ12" i="22"/>
  <c r="AY12" i="22"/>
  <c r="CA12" i="22"/>
  <c r="BG12" i="22"/>
  <c r="CH12" i="22"/>
  <c r="AV12" i="22"/>
  <c r="AI12" i="22"/>
  <c r="CB12" i="22"/>
  <c r="C46" i="16"/>
  <c r="Q49" i="10"/>
  <c r="B48" i="15" s="1"/>
  <c r="C10" i="15"/>
  <c r="B43" i="16"/>
  <c r="AK12" i="22"/>
  <c r="AN31" i="9"/>
  <c r="AO31" i="9" s="1"/>
  <c r="BL125" i="8"/>
  <c r="D44" i="14" s="1"/>
  <c r="E44" i="14" s="1"/>
  <c r="AN12" i="22"/>
  <c r="C11" i="14"/>
  <c r="BM114" i="8"/>
  <c r="H33" i="14" s="1"/>
  <c r="I33" i="14" s="1"/>
  <c r="BT122" i="8"/>
  <c r="AM12" i="22"/>
  <c r="J41" i="16"/>
  <c r="K41" i="16" s="1"/>
  <c r="C41" i="15"/>
  <c r="BJ12" i="22"/>
  <c r="CI12" i="22"/>
  <c r="BT107" i="8"/>
  <c r="U50" i="10"/>
  <c r="D49" i="22" s="1"/>
  <c r="BS12" i="22"/>
  <c r="B24" i="16"/>
  <c r="E24" i="16" s="1"/>
  <c r="CA98" i="8"/>
  <c r="BK92" i="8"/>
  <c r="N11" i="14" s="1"/>
  <c r="AN32" i="9"/>
  <c r="AO32" i="9" s="1"/>
  <c r="AN70" i="9"/>
  <c r="AO70" i="9" s="1"/>
  <c r="Q48" i="10"/>
  <c r="B48" i="14" s="1"/>
  <c r="BI117" i="8"/>
  <c r="BP117" i="8" s="1"/>
  <c r="D37" i="13" s="1"/>
  <c r="P39" i="11"/>
  <c r="J30" i="22" s="1"/>
  <c r="C25" i="15"/>
  <c r="S23" i="10"/>
  <c r="B22" i="22" s="1"/>
  <c r="AG12" i="22"/>
  <c r="AR2" i="22" s="1"/>
  <c r="J17" i="16"/>
  <c r="CE130" i="8"/>
  <c r="CF12" i="22"/>
  <c r="Q20" i="10"/>
  <c r="B20" i="14" s="1"/>
  <c r="BL119" i="8"/>
  <c r="D37" i="15" s="1"/>
  <c r="E37" i="15" s="1"/>
  <c r="AN37" i="9"/>
  <c r="AO37" i="9" s="1"/>
  <c r="CE120" i="8"/>
  <c r="AJ12" i="22"/>
  <c r="AN62" i="9"/>
  <c r="AO62" i="9" s="1"/>
  <c r="C44" i="16"/>
  <c r="E44" i="16" s="1"/>
  <c r="Q45" i="10"/>
  <c r="B44" i="15" s="1"/>
  <c r="P26" i="11"/>
  <c r="J17" i="22" s="1"/>
  <c r="BI122" i="8"/>
  <c r="BP122" i="8" s="1"/>
  <c r="D42" i="13" s="1"/>
  <c r="AN44" i="9"/>
  <c r="AO44" i="9" s="1"/>
  <c r="C37" i="16"/>
  <c r="Q27" i="10"/>
  <c r="B27" i="14" s="1"/>
  <c r="AN64" i="9"/>
  <c r="AO64" i="9" s="1"/>
  <c r="AN68" i="9"/>
  <c r="AO68" i="9" s="1"/>
  <c r="C27" i="14"/>
  <c r="Q34" i="10"/>
  <c r="B33" i="15" s="1"/>
  <c r="BL97" i="8"/>
  <c r="D15" i="15" s="1"/>
  <c r="D19" i="16"/>
  <c r="BI111" i="8"/>
  <c r="BP111" i="8" s="1"/>
  <c r="D31" i="13" s="1"/>
  <c r="BM12" i="22"/>
  <c r="C13" i="14"/>
  <c r="BV12" i="22"/>
  <c r="C38" i="14"/>
  <c r="U42" i="10"/>
  <c r="D41" i="22" s="1"/>
  <c r="AZ12" i="22"/>
  <c r="S19" i="10"/>
  <c r="B18" i="22" s="1"/>
  <c r="BT110" i="8"/>
  <c r="CC110" i="8" s="1"/>
  <c r="H28" i="22" s="1"/>
  <c r="BK94" i="8"/>
  <c r="N12" i="15" s="1"/>
  <c r="Q16" i="10"/>
  <c r="B15" i="15" s="1"/>
  <c r="L15" i="15" s="1"/>
  <c r="S37" i="10"/>
  <c r="B36" i="22" s="1"/>
  <c r="C22" i="15"/>
  <c r="BI112" i="8"/>
  <c r="H30" i="16" s="1"/>
  <c r="K30" i="16" s="1"/>
  <c r="CA108" i="8"/>
  <c r="P46" i="11"/>
  <c r="J37" i="22" s="1"/>
  <c r="CA111" i="8"/>
  <c r="CC111" i="8" s="1"/>
  <c r="H29" i="22" s="1"/>
  <c r="BL95" i="8"/>
  <c r="D14" i="14" s="1"/>
  <c r="BX126" i="8"/>
  <c r="CC126" i="8" s="1"/>
  <c r="H44" i="22" s="1"/>
  <c r="CA123" i="8"/>
  <c r="S32" i="11"/>
  <c r="E25" i="13" s="1"/>
  <c r="BM100" i="8"/>
  <c r="H18" i="15" s="1"/>
  <c r="AN39" i="9"/>
  <c r="AO39" i="9" s="1"/>
  <c r="BL114" i="8"/>
  <c r="D32" i="15" s="1"/>
  <c r="E32" i="15" s="1"/>
  <c r="S30" i="10"/>
  <c r="V30" i="10" s="1"/>
  <c r="BI97" i="8"/>
  <c r="BP97" i="8" s="1"/>
  <c r="D17" i="13" s="1"/>
  <c r="BX119" i="8"/>
  <c r="C39" i="16"/>
  <c r="CA96" i="8"/>
  <c r="P49" i="11"/>
  <c r="J40" i="22" s="1"/>
  <c r="C17" i="14"/>
  <c r="BL129" i="8"/>
  <c r="D48" i="14" s="1"/>
  <c r="E48" i="14" s="1"/>
  <c r="AO12" i="22"/>
  <c r="BF12" i="22"/>
  <c r="U29" i="10"/>
  <c r="D28" i="22" s="1"/>
  <c r="BN12" i="22"/>
  <c r="BL130" i="8"/>
  <c r="D49" i="14" s="1"/>
  <c r="E49" i="14" s="1"/>
  <c r="BH12" i="22"/>
  <c r="BP12" i="22"/>
  <c r="U32" i="10"/>
  <c r="D31" i="22" s="1"/>
  <c r="P44" i="11"/>
  <c r="J35" i="22" s="1"/>
  <c r="C14" i="16"/>
  <c r="C34" i="14"/>
  <c r="BL12" i="22"/>
  <c r="CE119" i="8"/>
  <c r="CC12" i="22"/>
  <c r="C24" i="14"/>
  <c r="CG12" i="22"/>
  <c r="U27" i="10"/>
  <c r="D26" i="22" s="1"/>
  <c r="C35" i="16"/>
  <c r="CE116" i="8"/>
  <c r="CE97" i="8"/>
  <c r="BK12" i="22"/>
  <c r="CE125" i="8"/>
  <c r="C21" i="14"/>
  <c r="C47" i="14"/>
  <c r="BC12" i="22"/>
  <c r="BI114" i="8"/>
  <c r="H32" i="16" s="1"/>
  <c r="C46" i="15"/>
  <c r="BX130" i="8"/>
  <c r="CC130" i="8" s="1"/>
  <c r="H48" i="22" s="1"/>
  <c r="B12" i="16"/>
  <c r="BL105" i="8"/>
  <c r="D23" i="15" s="1"/>
  <c r="E23" i="15" s="1"/>
  <c r="C12" i="15"/>
  <c r="BI100" i="8"/>
  <c r="H18" i="16" s="1"/>
  <c r="CE105" i="8"/>
  <c r="P21" i="11"/>
  <c r="J12" i="22" s="1"/>
  <c r="S31" i="11"/>
  <c r="E24" i="13" s="1"/>
  <c r="BX12" i="22"/>
  <c r="AT12" i="22"/>
  <c r="U17" i="10"/>
  <c r="D16" i="22" s="1"/>
  <c r="CE92" i="8"/>
  <c r="C20" i="16"/>
  <c r="J18" i="16"/>
  <c r="BB12" i="22"/>
  <c r="BX131" i="8"/>
  <c r="Q42" i="10"/>
  <c r="B42" i="14" s="1"/>
  <c r="BI116" i="8"/>
  <c r="BP116" i="8" s="1"/>
  <c r="D36" i="13" s="1"/>
  <c r="CE107" i="8"/>
  <c r="BK127" i="8"/>
  <c r="N45" i="15" s="1"/>
  <c r="BI129" i="8"/>
  <c r="BP129" i="8" s="1"/>
  <c r="D49" i="13" s="1"/>
  <c r="CD12" i="22"/>
  <c r="AS12" i="22"/>
  <c r="P29" i="11"/>
  <c r="J20" i="22" s="1"/>
  <c r="J40" i="16"/>
  <c r="K40" i="16" s="1"/>
  <c r="BR12" i="22"/>
  <c r="CE12" i="22"/>
  <c r="BL108" i="8"/>
  <c r="D27" i="14" s="1"/>
  <c r="E27" i="14" s="1"/>
  <c r="AX12" i="22"/>
  <c r="A13" i="22"/>
  <c r="CH13" i="22" s="1"/>
  <c r="AN58" i="9"/>
  <c r="AO58" i="9" s="1"/>
  <c r="CE100" i="8"/>
  <c r="CE123" i="8"/>
  <c r="J22" i="16"/>
  <c r="BM92" i="8"/>
  <c r="H10" i="15" s="1"/>
  <c r="BL115" i="8"/>
  <c r="D34" i="14" s="1"/>
  <c r="E34" i="14" s="1"/>
  <c r="AN36" i="9"/>
  <c r="AO36" i="9" s="1"/>
  <c r="Q25" i="10"/>
  <c r="B25" i="14" s="1"/>
  <c r="CE131" i="8"/>
  <c r="BL124" i="8"/>
  <c r="D43" i="14" s="1"/>
  <c r="E43" i="14" s="1"/>
  <c r="BL109" i="8"/>
  <c r="D27" i="15" s="1"/>
  <c r="E27" i="15" s="1"/>
  <c r="AN53" i="9"/>
  <c r="AO53" i="9" s="1"/>
  <c r="Q39" i="10"/>
  <c r="B38" i="15" s="1"/>
  <c r="C38" i="16"/>
  <c r="E38" i="16" s="1"/>
  <c r="BI95" i="8"/>
  <c r="H13" i="16" s="1"/>
  <c r="K13" i="16" s="1"/>
  <c r="Q21" i="10"/>
  <c r="B21" i="14" s="1"/>
  <c r="P50" i="11"/>
  <c r="J41" i="22" s="1"/>
  <c r="BI120" i="8"/>
  <c r="BP120" i="8" s="1"/>
  <c r="D40" i="13" s="1"/>
  <c r="P31" i="11"/>
  <c r="J22" i="22" s="1"/>
  <c r="BI119" i="8"/>
  <c r="BP119" i="8" s="1"/>
  <c r="D39" i="13" s="1"/>
  <c r="BK128" i="8"/>
  <c r="N46" i="15" s="1"/>
  <c r="Q30" i="10"/>
  <c r="B30" i="14" s="1"/>
  <c r="T34" i="10"/>
  <c r="C33" i="22" s="1"/>
  <c r="U41" i="10"/>
  <c r="D40" i="22" s="1"/>
  <c r="C49" i="15"/>
  <c r="AN52" i="9"/>
  <c r="AO52" i="9" s="1"/>
  <c r="Q47" i="10"/>
  <c r="B47" i="14" s="1"/>
  <c r="CE99" i="8"/>
  <c r="CE124" i="8"/>
  <c r="BK118" i="8"/>
  <c r="N37" i="14" s="1"/>
  <c r="CE95" i="8"/>
  <c r="J45" i="16"/>
  <c r="K45" i="16" s="1"/>
  <c r="Q36" i="10"/>
  <c r="B36" i="14" s="1"/>
  <c r="AN43" i="9"/>
  <c r="AO43" i="9" s="1"/>
  <c r="BL122" i="8"/>
  <c r="D40" i="15" s="1"/>
  <c r="E40" i="15" s="1"/>
  <c r="CA99" i="8"/>
  <c r="CE129" i="8"/>
  <c r="CE109" i="8"/>
  <c r="C41" i="14"/>
  <c r="B15" i="16"/>
  <c r="E15" i="16" s="1"/>
  <c r="BT95" i="8"/>
  <c r="BL131" i="8"/>
  <c r="D50" i="14" s="1"/>
  <c r="E50" i="14" s="1"/>
  <c r="Q29" i="10"/>
  <c r="B29" i="14" s="1"/>
  <c r="J23" i="16"/>
  <c r="CA106" i="8"/>
  <c r="BI125" i="8"/>
  <c r="BP125" i="8" s="1"/>
  <c r="D45" i="13" s="1"/>
  <c r="BL111" i="8"/>
  <c r="D29" i="15" s="1"/>
  <c r="E29" i="15" s="1"/>
  <c r="BI109" i="8"/>
  <c r="BP109" i="8" s="1"/>
  <c r="D29" i="13" s="1"/>
  <c r="CE103" i="8"/>
  <c r="T23" i="10"/>
  <c r="C22" i="22" s="1"/>
  <c r="CE111" i="8"/>
  <c r="BL103" i="8"/>
  <c r="D22" i="14" s="1"/>
  <c r="E22" i="14" s="1"/>
  <c r="Q23" i="10"/>
  <c r="B22" i="15" s="1"/>
  <c r="BI103" i="8"/>
  <c r="BP103" i="8" s="1"/>
  <c r="D23" i="13" s="1"/>
  <c r="BI101" i="8"/>
  <c r="BP101" i="8" s="1"/>
  <c r="D21" i="13" s="1"/>
  <c r="Q19" i="10"/>
  <c r="B19" i="14" s="1"/>
  <c r="AN35" i="9"/>
  <c r="AO35" i="9" s="1"/>
  <c r="AN47" i="9"/>
  <c r="AO47" i="9" s="1"/>
  <c r="P58" i="11"/>
  <c r="J49" i="22" s="1"/>
  <c r="C37" i="15"/>
  <c r="B28" i="16"/>
  <c r="E28" i="16" s="1"/>
  <c r="B30" i="13" s="1"/>
  <c r="B13" i="16"/>
  <c r="E13" i="16" s="1"/>
  <c r="B15" i="13" s="1"/>
  <c r="B35" i="16"/>
  <c r="J35" i="16"/>
  <c r="K35" i="16" s="1"/>
  <c r="C23" i="16"/>
  <c r="C35" i="15"/>
  <c r="BX124" i="8"/>
  <c r="CA131" i="8"/>
  <c r="AQ12" i="22"/>
  <c r="AW12" i="22"/>
  <c r="C33" i="16"/>
  <c r="AU12" i="22"/>
  <c r="T13" i="10"/>
  <c r="C12" i="22" s="1"/>
  <c r="BI12" i="22"/>
  <c r="BT105" i="8"/>
  <c r="BI118" i="8"/>
  <c r="BP118" i="8" s="1"/>
  <c r="D38" i="13" s="1"/>
  <c r="BE12" i="22"/>
  <c r="BT12" i="22"/>
  <c r="CE106" i="8"/>
  <c r="P45" i="11"/>
  <c r="J36" i="22" s="1"/>
  <c r="BM94" i="8"/>
  <c r="H13" i="14" s="1"/>
  <c r="AN50" i="9"/>
  <c r="AO50" i="9" s="1"/>
  <c r="M15" i="5" a="1"/>
  <c r="AJ15" i="5" s="1"/>
  <c r="BL128" i="8"/>
  <c r="D47" i="14" s="1"/>
  <c r="E47" i="14" s="1"/>
  <c r="CE126" i="8"/>
  <c r="Q24" i="10"/>
  <c r="B23" i="15" s="1"/>
  <c r="B40" i="16"/>
  <c r="CB91" i="8"/>
  <c r="C18" i="16"/>
  <c r="E18" i="16" s="1"/>
  <c r="D37" i="16"/>
  <c r="BI115" i="8"/>
  <c r="BP115" i="8" s="1"/>
  <c r="D35" i="13" s="1"/>
  <c r="BT121" i="8"/>
  <c r="CC121" i="8" s="1"/>
  <c r="H39" i="22" s="1"/>
  <c r="BI131" i="8"/>
  <c r="BP131" i="8" s="1"/>
  <c r="D51" i="13" s="1"/>
  <c r="Q11" i="10"/>
  <c r="B11" i="14" s="1"/>
  <c r="BI110" i="8"/>
  <c r="H28" i="16" s="1"/>
  <c r="Q33" i="10"/>
  <c r="B33" i="14" s="1"/>
  <c r="BT124" i="8"/>
  <c r="CE127" i="8"/>
  <c r="BK126" i="8"/>
  <c r="N44" i="15" s="1"/>
  <c r="Q26" i="10"/>
  <c r="B26" i="14" s="1"/>
  <c r="T26" i="10"/>
  <c r="C25" i="22" s="1"/>
  <c r="CE93" i="8"/>
  <c r="BL93" i="8"/>
  <c r="D11" i="15" s="1"/>
  <c r="CE128" i="8"/>
  <c r="BI93" i="8"/>
  <c r="H11" i="16" s="1"/>
  <c r="AN57" i="9"/>
  <c r="AO57" i="9" s="1"/>
  <c r="Q14" i="10"/>
  <c r="B14" i="14" s="1"/>
  <c r="BI127" i="8"/>
  <c r="BP127" i="8" s="1"/>
  <c r="D47" i="13" s="1"/>
  <c r="Q13" i="10"/>
  <c r="B13" i="14" s="1"/>
  <c r="BA12" i="22"/>
  <c r="AR12" i="22"/>
  <c r="J36" i="16"/>
  <c r="BL117" i="8"/>
  <c r="D35" i="15" s="1"/>
  <c r="E35" i="15" s="1"/>
  <c r="AN61" i="9"/>
  <c r="AO61" i="9" s="1"/>
  <c r="CE117" i="8"/>
  <c r="T31" i="10"/>
  <c r="C30" i="22" s="1"/>
  <c r="BL99" i="8"/>
  <c r="D17" i="15" s="1"/>
  <c r="BL110" i="8"/>
  <c r="D28" i="15" s="1"/>
  <c r="E28" i="15" s="1"/>
  <c r="BI99" i="8"/>
  <c r="BP99" i="8" s="1"/>
  <c r="D19" i="13" s="1"/>
  <c r="BL96" i="8"/>
  <c r="D15" i="14" s="1"/>
  <c r="BI130" i="8"/>
  <c r="BP130" i="8" s="1"/>
  <c r="D50" i="13" s="1"/>
  <c r="C40" i="16"/>
  <c r="AP12" i="22"/>
  <c r="AH12" i="22"/>
  <c r="AF12" i="22" s="1"/>
  <c r="AR4" i="22" s="1"/>
  <c r="C46" i="14"/>
  <c r="J26" i="16"/>
  <c r="BU12" i="22"/>
  <c r="S38" i="10"/>
  <c r="V38" i="10" s="1"/>
  <c r="BL116" i="8"/>
  <c r="D34" i="15" s="1"/>
  <c r="E34" i="15" s="1"/>
  <c r="BI102" i="8"/>
  <c r="H20" i="16" s="1"/>
  <c r="CE114" i="8"/>
  <c r="BL92" i="8"/>
  <c r="D11" i="14" s="1"/>
  <c r="BI92" i="8"/>
  <c r="BP92" i="8" s="1"/>
  <c r="S15" i="10"/>
  <c r="B14" i="22" s="1"/>
  <c r="C20" i="15"/>
  <c r="J20" i="16"/>
  <c r="T19" i="10"/>
  <c r="C18" i="22" s="1"/>
  <c r="BA91" i="8"/>
  <c r="CE96" i="8"/>
  <c r="BK113" i="8"/>
  <c r="N32" i="14" s="1"/>
  <c r="BB91" i="8"/>
  <c r="BL100" i="8"/>
  <c r="D19" i="14" s="1"/>
  <c r="AD29" i="9"/>
  <c r="T50" i="10"/>
  <c r="C49" i="22" s="1"/>
  <c r="AN65" i="9"/>
  <c r="AO65" i="9" s="1"/>
  <c r="AN38" i="9"/>
  <c r="AO38" i="9" s="1"/>
  <c r="BI124" i="8"/>
  <c r="BP124" i="8" s="1"/>
  <c r="D44" i="13" s="1"/>
  <c r="BE91" i="8"/>
  <c r="BI121" i="8"/>
  <c r="BP121" i="8" s="1"/>
  <c r="D41" i="13" s="1"/>
  <c r="D39" i="16"/>
  <c r="C50" i="14"/>
  <c r="BI128" i="8"/>
  <c r="BP128" i="8" s="1"/>
  <c r="D48" i="13" s="1"/>
  <c r="B25" i="16"/>
  <c r="CE122" i="8"/>
  <c r="Q38" i="10"/>
  <c r="B37" i="15" s="1"/>
  <c r="AN55" i="9"/>
  <c r="AO55" i="9" s="1"/>
  <c r="CE110" i="8"/>
  <c r="BL127" i="8"/>
  <c r="D45" i="15" s="1"/>
  <c r="E45" i="15" s="1"/>
  <c r="U20" i="10"/>
  <c r="D19" i="22" s="1"/>
  <c r="D46" i="16"/>
  <c r="M5" i="5" a="1"/>
  <c r="AE5" i="5" s="1"/>
  <c r="AC29" i="9"/>
  <c r="C9" i="13"/>
  <c r="CE115" i="8"/>
  <c r="AK29" i="9"/>
  <c r="C45" i="16"/>
  <c r="BM118" i="8"/>
  <c r="H36" i="15" s="1"/>
  <c r="I36" i="15" s="1"/>
  <c r="BZ91" i="8"/>
  <c r="BL112" i="8"/>
  <c r="D30" i="15" s="1"/>
  <c r="E30" i="15" s="1"/>
  <c r="Q41" i="10"/>
  <c r="B40" i="15" s="1"/>
  <c r="AI29" i="9"/>
  <c r="AN49" i="9"/>
  <c r="AO49" i="9" s="1"/>
  <c r="CE113" i="8"/>
  <c r="B30" i="16"/>
  <c r="E30" i="16" s="1"/>
  <c r="B20" i="16"/>
  <c r="P48" i="11"/>
  <c r="J39" i="22" s="1"/>
  <c r="BM121" i="8"/>
  <c r="H40" i="14" s="1"/>
  <c r="I40" i="14" s="1"/>
  <c r="C39" i="15"/>
  <c r="Q37" i="10"/>
  <c r="B36" i="15" s="1"/>
  <c r="P54" i="11"/>
  <c r="J45" i="22" s="1"/>
  <c r="C40" i="14"/>
  <c r="C45" i="15"/>
  <c r="BX123" i="8"/>
  <c r="AN33" i="9"/>
  <c r="AO33" i="9" s="1"/>
  <c r="M16" i="5" a="1"/>
  <c r="AV16" i="5" s="1"/>
  <c r="CA127" i="8"/>
  <c r="BI106" i="8"/>
  <c r="H24" i="16" s="1"/>
  <c r="K24" i="16" s="1"/>
  <c r="CE112" i="8"/>
  <c r="U14" i="10"/>
  <c r="D13" i="22" s="1"/>
  <c r="CE102" i="8"/>
  <c r="BW91" i="8"/>
  <c r="S47" i="10"/>
  <c r="B46" i="22" s="1"/>
  <c r="E46" i="22" s="1"/>
  <c r="Q40" i="10"/>
  <c r="B39" i="15" s="1"/>
  <c r="S40" i="10"/>
  <c r="V40" i="10" s="1"/>
  <c r="U31" i="10"/>
  <c r="D30" i="22" s="1"/>
  <c r="Q17" i="10"/>
  <c r="B16" i="15" s="1"/>
  <c r="BU106" i="8"/>
  <c r="BU91" i="8" s="1"/>
  <c r="D45" i="16"/>
  <c r="BK131" i="8"/>
  <c r="N50" i="14" s="1"/>
  <c r="AN60" i="9"/>
  <c r="AO60" i="9" s="1"/>
  <c r="AN46" i="9"/>
  <c r="AO46" i="9" s="1"/>
  <c r="BK123" i="8"/>
  <c r="N42" i="14" s="1"/>
  <c r="BK102" i="8"/>
  <c r="N20" i="15" s="1"/>
  <c r="CA112" i="8"/>
  <c r="CC112" i="8" s="1"/>
  <c r="H30" i="22" s="1"/>
  <c r="BI105" i="8"/>
  <c r="BP105" i="8" s="1"/>
  <c r="D25" i="13" s="1"/>
  <c r="CE108" i="8"/>
  <c r="CE118" i="8"/>
  <c r="BF91" i="8"/>
  <c r="BG91" i="8"/>
  <c r="AB29" i="9"/>
  <c r="S11" i="10"/>
  <c r="V11" i="10" s="1"/>
  <c r="CE101" i="8"/>
  <c r="C12" i="14"/>
  <c r="BI123" i="8"/>
  <c r="BP123" i="8" s="1"/>
  <c r="D43" i="13" s="1"/>
  <c r="Q50" i="10"/>
  <c r="B49" i="15" s="1"/>
  <c r="AL29" i="9"/>
  <c r="AZ91" i="8"/>
  <c r="X8" i="10"/>
  <c r="BI104" i="8"/>
  <c r="BP104" i="8" s="1"/>
  <c r="D24" i="13" s="1"/>
  <c r="BL113" i="8"/>
  <c r="D31" i="15" s="1"/>
  <c r="E31" i="15" s="1"/>
  <c r="S50" i="10"/>
  <c r="B49" i="22" s="1"/>
  <c r="BI96" i="8"/>
  <c r="H14" i="16" s="1"/>
  <c r="K14" i="16" s="1"/>
  <c r="BT96" i="8"/>
  <c r="C31" i="16"/>
  <c r="E31" i="16" s="1"/>
  <c r="BI98" i="8"/>
  <c r="BP98" i="8" s="1"/>
  <c r="D18" i="13" s="1"/>
  <c r="BT98" i="8"/>
  <c r="C11" i="15"/>
  <c r="T37" i="10"/>
  <c r="C36" i="22" s="1"/>
  <c r="AN67" i="9"/>
  <c r="AO67" i="9" s="1"/>
  <c r="AH29" i="9"/>
  <c r="S17" i="10"/>
  <c r="B16" i="22" s="1"/>
  <c r="CE121" i="8"/>
  <c r="S46" i="10"/>
  <c r="V46" i="10" s="1"/>
  <c r="BI107" i="8"/>
  <c r="H25" i="16" s="1"/>
  <c r="AN66" i="9"/>
  <c r="AO66" i="9" s="1"/>
  <c r="BC91" i="8"/>
  <c r="D10" i="16"/>
  <c r="Q32" i="10"/>
  <c r="B32" i="14" s="1"/>
  <c r="C44" i="15"/>
  <c r="BH91" i="8"/>
  <c r="BI113" i="8"/>
  <c r="BP113" i="8" s="1"/>
  <c r="D33" i="13" s="1"/>
  <c r="C45" i="14"/>
  <c r="J44" i="16"/>
  <c r="K44" i="16" s="1"/>
  <c r="P53" i="11"/>
  <c r="J44" i="22" s="1"/>
  <c r="BL102" i="8"/>
  <c r="D20" i="15" s="1"/>
  <c r="E20" i="15" s="1"/>
  <c r="BV91" i="8"/>
  <c r="Q15" i="10"/>
  <c r="B15" i="14" s="1"/>
  <c r="L15" i="14" s="1"/>
  <c r="CE94" i="8"/>
  <c r="M18" i="11"/>
  <c r="CE98" i="8"/>
  <c r="Q31" i="10"/>
  <c r="B31" i="14" s="1"/>
  <c r="AG29" i="9"/>
  <c r="BL104" i="8"/>
  <c r="D22" i="15" s="1"/>
  <c r="E22" i="15" s="1"/>
  <c r="BD91" i="8"/>
  <c r="D14" i="16"/>
  <c r="BL118" i="8"/>
  <c r="D36" i="15" s="1"/>
  <c r="E36" i="15" s="1"/>
  <c r="BL98" i="8"/>
  <c r="D17" i="14" s="1"/>
  <c r="U15" i="10"/>
  <c r="D14" i="22" s="1"/>
  <c r="BX127" i="8"/>
  <c r="BL94" i="8"/>
  <c r="D13" i="14" s="1"/>
  <c r="AM29" i="9"/>
  <c r="Q46" i="10"/>
  <c r="B46" i="14" s="1"/>
  <c r="CA105" i="8"/>
  <c r="P8" i="10"/>
  <c r="BI94" i="8"/>
  <c r="BP94" i="8" s="1"/>
  <c r="D14" i="13" s="1"/>
  <c r="BM112" i="8"/>
  <c r="H30" i="15" s="1"/>
  <c r="I30" i="15" s="1"/>
  <c r="U13" i="10"/>
  <c r="D12" i="22" s="1"/>
  <c r="C41" i="16"/>
  <c r="D12" i="16"/>
  <c r="T42" i="10"/>
  <c r="C41" i="22" s="1"/>
  <c r="BI108" i="8"/>
  <c r="H26" i="16" s="1"/>
  <c r="M6" i="5" a="1"/>
  <c r="AR6" i="5" s="1"/>
  <c r="BL121" i="8"/>
  <c r="D39" i="15" s="1"/>
  <c r="E39" i="15" s="1"/>
  <c r="O8" i="10"/>
  <c r="M7" i="5" a="1"/>
  <c r="U7" i="5" s="1"/>
  <c r="CE104" i="8"/>
  <c r="BL126" i="8"/>
  <c r="D44" i="15" s="1"/>
  <c r="E44" i="15" s="1"/>
  <c r="M20" i="5" a="1"/>
  <c r="U20" i="5" s="1"/>
  <c r="BI126" i="8"/>
  <c r="BP126" i="8" s="1"/>
  <c r="D46" i="13" s="1"/>
  <c r="N8" i="10"/>
  <c r="I11" i="16"/>
  <c r="M4" i="5" a="1"/>
  <c r="Z4" i="5" s="1"/>
  <c r="K17" i="12"/>
  <c r="I11" i="22" s="1"/>
  <c r="BK108" i="8"/>
  <c r="N26" i="15" s="1"/>
  <c r="H39" i="16"/>
  <c r="K39" i="16" s="1"/>
  <c r="H36" i="16"/>
  <c r="BT108" i="8"/>
  <c r="K38" i="16"/>
  <c r="BY91" i="8"/>
  <c r="K37" i="16"/>
  <c r="F9" i="13"/>
  <c r="H45" i="14"/>
  <c r="I45" i="14" s="1"/>
  <c r="H44" i="15"/>
  <c r="I44" i="15" s="1"/>
  <c r="N31" i="14"/>
  <c r="N30" i="15"/>
  <c r="B32" i="22"/>
  <c r="H29" i="15"/>
  <c r="I29" i="15" s="1"/>
  <c r="H30" i="14"/>
  <c r="I30" i="14" s="1"/>
  <c r="R3" i="5"/>
  <c r="L99" i="5" s="1"/>
  <c r="AR3" i="5"/>
  <c r="S3" i="5"/>
  <c r="M99" i="5" s="1"/>
  <c r="AH3" i="5"/>
  <c r="AB99" i="5" s="1"/>
  <c r="O3" i="5"/>
  <c r="I99" i="5" s="1"/>
  <c r="AT3" i="5"/>
  <c r="AJ3" i="5"/>
  <c r="AD99" i="5" s="1"/>
  <c r="AN3" i="5"/>
  <c r="AD3" i="5"/>
  <c r="X99" i="5" s="1"/>
  <c r="Q3" i="5"/>
  <c r="K99" i="5" s="1"/>
  <c r="N3" i="5"/>
  <c r="H99" i="5" s="1"/>
  <c r="AX3" i="5"/>
  <c r="AO3" i="5"/>
  <c r="AP3" i="5"/>
  <c r="T3" i="5"/>
  <c r="N99" i="5" s="1"/>
  <c r="AA3" i="5"/>
  <c r="U99" i="5" s="1"/>
  <c r="M3" i="5"/>
  <c r="G99" i="5" s="1"/>
  <c r="AB3" i="5"/>
  <c r="V99" i="5" s="1"/>
  <c r="AW3" i="5"/>
  <c r="AI3" i="5"/>
  <c r="AC99" i="5" s="1"/>
  <c r="U3" i="5"/>
  <c r="O99" i="5" s="1"/>
  <c r="AE3" i="5"/>
  <c r="Y99" i="5" s="1"/>
  <c r="AC3" i="5"/>
  <c r="W99" i="5" s="1"/>
  <c r="P3" i="5"/>
  <c r="J99" i="5" s="1"/>
  <c r="AV3" i="5"/>
  <c r="W3" i="5"/>
  <c r="Q99" i="5" s="1"/>
  <c r="AQ3" i="5"/>
  <c r="V3" i="5"/>
  <c r="P99" i="5" s="1"/>
  <c r="AF3" i="5"/>
  <c r="Z99" i="5" s="1"/>
  <c r="Y3" i="5"/>
  <c r="S99" i="5" s="1"/>
  <c r="Z3" i="5"/>
  <c r="T99" i="5" s="1"/>
  <c r="X3" i="5"/>
  <c r="R99" i="5" s="1"/>
  <c r="AS3" i="5"/>
  <c r="AU3" i="5"/>
  <c r="AK3" i="5"/>
  <c r="AE99" i="5" s="1"/>
  <c r="AY3" i="5"/>
  <c r="AG3" i="5"/>
  <c r="AA99" i="5" s="1"/>
  <c r="AZ3" i="5"/>
  <c r="AM3" i="5"/>
  <c r="AL3" i="5"/>
  <c r="AF99" i="5" s="1"/>
  <c r="N39" i="15"/>
  <c r="N40" i="14"/>
  <c r="N34" i="14"/>
  <c r="N33" i="15"/>
  <c r="E21" i="16"/>
  <c r="N39" i="14"/>
  <c r="N38" i="15"/>
  <c r="H28" i="14"/>
  <c r="I28" i="14" s="1"/>
  <c r="H27" i="15"/>
  <c r="I27" i="15" s="1"/>
  <c r="H19" i="15"/>
  <c r="I19" i="15" s="1"/>
  <c r="H20" i="14"/>
  <c r="I20" i="14" s="1"/>
  <c r="K49" i="16"/>
  <c r="V21" i="10"/>
  <c r="B20" i="22"/>
  <c r="E20" i="22" s="1"/>
  <c r="E18" i="13"/>
  <c r="H23" i="15"/>
  <c r="I23" i="15" s="1"/>
  <c r="H24" i="14"/>
  <c r="I24" i="14" s="1"/>
  <c r="B48" i="22"/>
  <c r="D10" i="22"/>
  <c r="CC103" i="8"/>
  <c r="H21" i="22" s="1"/>
  <c r="H18" i="14"/>
  <c r="H17" i="15"/>
  <c r="H43" i="14"/>
  <c r="I43" i="14" s="1"/>
  <c r="H42" i="15"/>
  <c r="I42" i="15" s="1"/>
  <c r="H23" i="14"/>
  <c r="I23" i="14" s="1"/>
  <c r="CC93" i="8"/>
  <c r="H11" i="22" s="1"/>
  <c r="H39" i="14"/>
  <c r="I39" i="14" s="1"/>
  <c r="H38" i="15"/>
  <c r="I38" i="15" s="1"/>
  <c r="N23" i="15"/>
  <c r="N24" i="14"/>
  <c r="E27" i="16"/>
  <c r="B41" i="22"/>
  <c r="C10" i="22"/>
  <c r="N41" i="14"/>
  <c r="N40" i="15"/>
  <c r="B33" i="22"/>
  <c r="CC115" i="8"/>
  <c r="H33" i="22" s="1"/>
  <c r="N25" i="15"/>
  <c r="N26" i="14"/>
  <c r="H14" i="15"/>
  <c r="H15" i="14"/>
  <c r="N14" i="14"/>
  <c r="N13" i="15"/>
  <c r="E26" i="16"/>
  <c r="CC118" i="8"/>
  <c r="H36" i="22" s="1"/>
  <c r="B34" i="22"/>
  <c r="D16" i="14"/>
  <c r="B27" i="22"/>
  <c r="E27" i="22" s="1"/>
  <c r="V28" i="10"/>
  <c r="CC101" i="8"/>
  <c r="H19" i="22" s="1"/>
  <c r="B13" i="22"/>
  <c r="H46" i="14"/>
  <c r="I46" i="14" s="1"/>
  <c r="H45" i="15"/>
  <c r="I45" i="15" s="1"/>
  <c r="N25" i="14"/>
  <c r="N24" i="15"/>
  <c r="H29" i="14"/>
  <c r="I29" i="14" s="1"/>
  <c r="H28" i="15"/>
  <c r="I28" i="15" s="1"/>
  <c r="B12" i="22"/>
  <c r="H31" i="15"/>
  <c r="I31" i="15" s="1"/>
  <c r="E32" i="16"/>
  <c r="H15" i="15"/>
  <c r="H16" i="14"/>
  <c r="E11" i="16"/>
  <c r="K46" i="16"/>
  <c r="H34" i="14"/>
  <c r="I34" i="14" s="1"/>
  <c r="H33" i="15"/>
  <c r="I33" i="15" s="1"/>
  <c r="B43" i="22"/>
  <c r="V25" i="10"/>
  <c r="B24" i="22"/>
  <c r="E24" i="22" s="1"/>
  <c r="N19" i="15"/>
  <c r="N20" i="14"/>
  <c r="E49" i="16"/>
  <c r="D20" i="14"/>
  <c r="E20" i="14" s="1"/>
  <c r="H27" i="14"/>
  <c r="I27" i="14" s="1"/>
  <c r="H26" i="15"/>
  <c r="I26" i="15" s="1"/>
  <c r="CC102" i="8"/>
  <c r="H20" i="22" s="1"/>
  <c r="B17" i="15"/>
  <c r="H35" i="14"/>
  <c r="I35" i="14" s="1"/>
  <c r="H34" i="15"/>
  <c r="I34" i="15" s="1"/>
  <c r="N22" i="14"/>
  <c r="N21" i="15"/>
  <c r="H49" i="15"/>
  <c r="I49" i="15" s="1"/>
  <c r="H50" i="14"/>
  <c r="I50" i="14" s="1"/>
  <c r="H25" i="14"/>
  <c r="I25" i="14" s="1"/>
  <c r="H24" i="15"/>
  <c r="I24" i="15" s="1"/>
  <c r="B17" i="22"/>
  <c r="E17" i="22" s="1"/>
  <c r="V18" i="10"/>
  <c r="E22" i="16"/>
  <c r="H41" i="14"/>
  <c r="I41" i="14" s="1"/>
  <c r="V22" i="10"/>
  <c r="B15" i="22"/>
  <c r="N13" i="14"/>
  <c r="N35" i="14"/>
  <c r="N34" i="15"/>
  <c r="V39" i="10"/>
  <c r="B38" i="22"/>
  <c r="E38" i="22" s="1"/>
  <c r="N16" i="15"/>
  <c r="N17" i="14"/>
  <c r="CC94" i="8"/>
  <c r="H12" i="22" s="1"/>
  <c r="H25" i="15"/>
  <c r="I25" i="15" s="1"/>
  <c r="H26" i="14"/>
  <c r="I26" i="14" s="1"/>
  <c r="CC117" i="8"/>
  <c r="H35" i="22" s="1"/>
  <c r="B11" i="22"/>
  <c r="E11" i="22" s="1"/>
  <c r="E29" i="16"/>
  <c r="H12" i="14"/>
  <c r="H11" i="15"/>
  <c r="D24" i="15"/>
  <c r="E24" i="15" s="1"/>
  <c r="D25" i="14"/>
  <c r="E25" i="14" s="1"/>
  <c r="N29" i="14"/>
  <c r="N28" i="15"/>
  <c r="N42" i="15"/>
  <c r="N43" i="14"/>
  <c r="N49" i="14"/>
  <c r="N48" i="15"/>
  <c r="H47" i="14"/>
  <c r="I47" i="14" s="1"/>
  <c r="H46" i="15"/>
  <c r="I46" i="15" s="1"/>
  <c r="B47" i="22"/>
  <c r="E47" i="22" s="1"/>
  <c r="V48" i="10"/>
  <c r="CC113" i="8"/>
  <c r="H31" i="22" s="1"/>
  <c r="H21" i="14"/>
  <c r="I21" i="14" s="1"/>
  <c r="K47" i="16"/>
  <c r="N32" i="15"/>
  <c r="N33" i="14"/>
  <c r="H48" i="15"/>
  <c r="I48" i="15" s="1"/>
  <c r="H49" i="14"/>
  <c r="I49" i="14" s="1"/>
  <c r="B34" i="15"/>
  <c r="CC128" i="8"/>
  <c r="H46" i="22" s="1"/>
  <c r="CC104" i="8"/>
  <c r="H22" i="22" s="1"/>
  <c r="E36" i="16"/>
  <c r="H47" i="15"/>
  <c r="I47" i="15" s="1"/>
  <c r="H48" i="14"/>
  <c r="I48" i="14" s="1"/>
  <c r="N18" i="14"/>
  <c r="N17" i="15"/>
  <c r="B35" i="22"/>
  <c r="E35" i="22" s="1"/>
  <c r="V36" i="10"/>
  <c r="N14" i="15"/>
  <c r="N15" i="14"/>
  <c r="N28" i="14"/>
  <c r="N27" i="15"/>
  <c r="H42" i="14"/>
  <c r="I42" i="14" s="1"/>
  <c r="H41" i="15"/>
  <c r="I41" i="15" s="1"/>
  <c r="V24" i="10"/>
  <c r="B23" i="22"/>
  <c r="E23" i="22" s="1"/>
  <c r="H44" i="14"/>
  <c r="I44" i="14" s="1"/>
  <c r="H43" i="15"/>
  <c r="I43" i="15" s="1"/>
  <c r="CC92" i="8"/>
  <c r="E16" i="16"/>
  <c r="N29" i="15"/>
  <c r="N30" i="14"/>
  <c r="N44" i="14"/>
  <c r="N43" i="15"/>
  <c r="V45" i="10"/>
  <c r="B44" i="22"/>
  <c r="E44" i="22" s="1"/>
  <c r="N23" i="14"/>
  <c r="N22" i="15"/>
  <c r="B30" i="22"/>
  <c r="B43" i="14"/>
  <c r="B42" i="15"/>
  <c r="N35" i="15"/>
  <c r="H16" i="15"/>
  <c r="H17" i="14"/>
  <c r="N48" i="14"/>
  <c r="N47" i="15"/>
  <c r="B28" i="14"/>
  <c r="N18" i="15"/>
  <c r="N19" i="14"/>
  <c r="B28" i="22"/>
  <c r="E47" i="16"/>
  <c r="N37" i="15"/>
  <c r="N38" i="14"/>
  <c r="H13" i="15"/>
  <c r="H14" i="14"/>
  <c r="H21" i="15"/>
  <c r="I21" i="15" s="1"/>
  <c r="H22" i="14"/>
  <c r="I22" i="14" s="1"/>
  <c r="B12" i="14"/>
  <c r="B11" i="15"/>
  <c r="B25" i="22"/>
  <c r="B19" i="22"/>
  <c r="B40" i="22"/>
  <c r="V12" i="10" l="1"/>
  <c r="D25" i="15"/>
  <c r="E25" i="15" s="1"/>
  <c r="E17" i="16"/>
  <c r="B19" i="13" s="1"/>
  <c r="H36" i="14"/>
  <c r="I36" i="14" s="1"/>
  <c r="E41" i="16"/>
  <c r="V16" i="10"/>
  <c r="E19" i="16"/>
  <c r="B21" i="13" s="1"/>
  <c r="K28" i="16"/>
  <c r="AJ13" i="22"/>
  <c r="B22" i="14"/>
  <c r="E23" i="16"/>
  <c r="B25" i="13" s="1"/>
  <c r="W25" i="13" s="1"/>
  <c r="CC120" i="8"/>
  <c r="H38" i="22" s="1"/>
  <c r="K38" i="22" s="1"/>
  <c r="L38" i="22" s="1"/>
  <c r="CC122" i="8"/>
  <c r="H40" i="22" s="1"/>
  <c r="AE40" i="22" s="1"/>
  <c r="B49" i="14"/>
  <c r="BQ13" i="22"/>
  <c r="AR13" i="22"/>
  <c r="BZ13" i="22"/>
  <c r="BE13" i="22"/>
  <c r="B47" i="15"/>
  <c r="CD13" i="22"/>
  <c r="CC109" i="8"/>
  <c r="H27" i="22" s="1"/>
  <c r="K27" i="22" s="1"/>
  <c r="L27" i="22" s="1"/>
  <c r="D38" i="15"/>
  <c r="E38" i="15" s="1"/>
  <c r="H29" i="16"/>
  <c r="K29" i="16" s="1"/>
  <c r="L29" i="16" s="1"/>
  <c r="B19" i="15"/>
  <c r="B43" i="15"/>
  <c r="V35" i="10"/>
  <c r="CC119" i="8"/>
  <c r="H37" i="22" s="1"/>
  <c r="K37" i="22" s="1"/>
  <c r="I7" i="22"/>
  <c r="BV13" i="22"/>
  <c r="BO13" i="22"/>
  <c r="AS13" i="22"/>
  <c r="N12" i="14"/>
  <c r="BP100" i="8"/>
  <c r="D20" i="13" s="1"/>
  <c r="N16" i="14"/>
  <c r="E15" i="22"/>
  <c r="H38" i="14"/>
  <c r="I38" i="14" s="1"/>
  <c r="D13" i="15"/>
  <c r="E20" i="16"/>
  <c r="B22" i="13" s="1"/>
  <c r="Y22" i="13" s="1"/>
  <c r="H34" i="16"/>
  <c r="K34" i="16" s="1"/>
  <c r="L34" i="16" s="1"/>
  <c r="K32" i="16"/>
  <c r="L32" i="16" s="1"/>
  <c r="BF13" i="22"/>
  <c r="D24" i="14"/>
  <c r="E24" i="14" s="1"/>
  <c r="K25" i="16"/>
  <c r="K18" i="22"/>
  <c r="E48" i="16"/>
  <c r="B50" i="13" s="1"/>
  <c r="X50" i="13" s="1"/>
  <c r="BG13" i="22"/>
  <c r="CC95" i="8"/>
  <c r="H13" i="22" s="1"/>
  <c r="AE13" i="22" s="1"/>
  <c r="E14" i="16"/>
  <c r="B16" i="13" s="1"/>
  <c r="X16" i="13" s="1"/>
  <c r="H12" i="15"/>
  <c r="I18" i="15" s="1"/>
  <c r="D18" i="15"/>
  <c r="B23" i="14"/>
  <c r="B42" i="22"/>
  <c r="E42" i="22" s="1"/>
  <c r="K18" i="16"/>
  <c r="L18" i="16" s="1"/>
  <c r="B20" i="15"/>
  <c r="B16" i="14"/>
  <c r="L16" i="14" s="1"/>
  <c r="I7" i="16"/>
  <c r="E43" i="16"/>
  <c r="L43" i="16" s="1"/>
  <c r="BH13" i="22"/>
  <c r="CC125" i="8"/>
  <c r="H43" i="22" s="1"/>
  <c r="AE43" i="22" s="1"/>
  <c r="AI13" i="22"/>
  <c r="CA13" i="22"/>
  <c r="AH13" i="22"/>
  <c r="AF13" i="22" s="1"/>
  <c r="AS4" i="22" s="1"/>
  <c r="E33" i="16"/>
  <c r="B35" i="13" s="1"/>
  <c r="Y35" i="13" s="1"/>
  <c r="BI13" i="22"/>
  <c r="CG13" i="22"/>
  <c r="B24" i="15"/>
  <c r="D48" i="15"/>
  <c r="E48" i="15" s="1"/>
  <c r="BY13" i="22"/>
  <c r="D33" i="15"/>
  <c r="E33" i="15" s="1"/>
  <c r="D33" i="14"/>
  <c r="E33" i="14" s="1"/>
  <c r="AO13" i="22"/>
  <c r="B34" i="14"/>
  <c r="BS13" i="22"/>
  <c r="D42" i="14"/>
  <c r="E42" i="14" s="1"/>
  <c r="AX13" i="22"/>
  <c r="D41" i="14"/>
  <c r="E41" i="14" s="1"/>
  <c r="B32" i="15"/>
  <c r="D43" i="15"/>
  <c r="E43" i="15" s="1"/>
  <c r="AV13" i="22"/>
  <c r="CB13" i="22"/>
  <c r="AA17" i="40"/>
  <c r="CI13" i="22"/>
  <c r="Q17" i="40"/>
  <c r="S17" i="40" s="1"/>
  <c r="D10" i="15"/>
  <c r="BD13" i="22"/>
  <c r="B45" i="14"/>
  <c r="BP112" i="8"/>
  <c r="D32" i="13" s="1"/>
  <c r="AM13" i="22"/>
  <c r="B29" i="15"/>
  <c r="D38" i="14"/>
  <c r="E38" i="14" s="1"/>
  <c r="BP110" i="8"/>
  <c r="D30" i="13" s="1"/>
  <c r="W30" i="13" s="1"/>
  <c r="AG30" i="13" s="1"/>
  <c r="B26" i="15"/>
  <c r="CC99" i="8"/>
  <c r="H17" i="22" s="1"/>
  <c r="K17" i="22" s="1"/>
  <c r="L17" i="22" s="1"/>
  <c r="N10" i="15"/>
  <c r="O10" i="15" s="1"/>
  <c r="P10" i="15" s="1"/>
  <c r="O11" i="15" s="1"/>
  <c r="D18" i="14"/>
  <c r="B25" i="15"/>
  <c r="L12" i="14"/>
  <c r="U15" i="5"/>
  <c r="T15" i="5"/>
  <c r="BR13" i="22"/>
  <c r="AX15" i="5"/>
  <c r="P15" i="5"/>
  <c r="AN15" i="5"/>
  <c r="AU15" i="5"/>
  <c r="V15" i="5"/>
  <c r="AO15" i="5"/>
  <c r="R15" i="5"/>
  <c r="B41" i="15"/>
  <c r="Z15" i="5"/>
  <c r="H32" i="15"/>
  <c r="I32" i="15" s="1"/>
  <c r="H17" i="16"/>
  <c r="K17" i="16" s="1"/>
  <c r="E10" i="16"/>
  <c r="B12" i="13" s="1"/>
  <c r="AC17" i="40"/>
  <c r="V33" i="10"/>
  <c r="N21" i="14"/>
  <c r="AU13" i="22"/>
  <c r="H11" i="14"/>
  <c r="I18" i="14" s="1"/>
  <c r="AR15" i="5"/>
  <c r="B24" i="14"/>
  <c r="CF13" i="22"/>
  <c r="E34" i="22"/>
  <c r="E25" i="16"/>
  <c r="B27" i="13" s="1"/>
  <c r="X27" i="13" s="1"/>
  <c r="N46" i="14"/>
  <c r="Z18" i="40"/>
  <c r="AB18" i="40" s="1"/>
  <c r="D28" i="14"/>
  <c r="E28" i="14" s="1"/>
  <c r="S15" i="5"/>
  <c r="CC13" i="22"/>
  <c r="D21" i="15"/>
  <c r="E21" i="15" s="1"/>
  <c r="E28" i="22"/>
  <c r="B29" i="22"/>
  <c r="E29" i="22" s="1"/>
  <c r="E32" i="22"/>
  <c r="N47" i="14"/>
  <c r="BL13" i="22"/>
  <c r="AD15" i="5"/>
  <c r="AN13" i="22"/>
  <c r="V49" i="10"/>
  <c r="E35" i="16"/>
  <c r="B37" i="13" s="1"/>
  <c r="H21" i="16"/>
  <c r="K21" i="16" s="1"/>
  <c r="L21" i="16" s="1"/>
  <c r="BP102" i="8"/>
  <c r="D22" i="13" s="1"/>
  <c r="AK13" i="22"/>
  <c r="E48" i="22"/>
  <c r="B28" i="15"/>
  <c r="BN13" i="22"/>
  <c r="AP13" i="22"/>
  <c r="B35" i="15"/>
  <c r="BP93" i="8"/>
  <c r="D13" i="13" s="1"/>
  <c r="AA15" i="5"/>
  <c r="BW13" i="22"/>
  <c r="L14" i="14"/>
  <c r="AO5" i="5"/>
  <c r="E46" i="16"/>
  <c r="B48" i="13" s="1"/>
  <c r="Y48" i="13" s="1"/>
  <c r="AI15" i="5"/>
  <c r="AT15" i="5"/>
  <c r="CE13" i="22"/>
  <c r="H15" i="16"/>
  <c r="K15" i="16" s="1"/>
  <c r="L15" i="16" s="1"/>
  <c r="AZ15" i="5"/>
  <c r="AG15" i="5"/>
  <c r="AH15" i="5"/>
  <c r="AW15" i="5"/>
  <c r="E40" i="16"/>
  <c r="B42" i="13" s="1"/>
  <c r="W6" i="5"/>
  <c r="AN6" i="5"/>
  <c r="CC107" i="8"/>
  <c r="H25" i="22" s="1"/>
  <c r="K25" i="22" s="1"/>
  <c r="B38" i="14"/>
  <c r="S6" i="5"/>
  <c r="E43" i="22"/>
  <c r="V44" i="10"/>
  <c r="V32" i="10"/>
  <c r="CC98" i="8"/>
  <c r="H16" i="22" s="1"/>
  <c r="AE16" i="22" s="1"/>
  <c r="H22" i="16"/>
  <c r="K22" i="16" s="1"/>
  <c r="L22" i="16" s="1"/>
  <c r="H19" i="14"/>
  <c r="B45" i="15"/>
  <c r="X5" i="5"/>
  <c r="U5" i="5"/>
  <c r="BP114" i="8"/>
  <c r="D34" i="13" s="1"/>
  <c r="S5" i="5"/>
  <c r="AB5" i="5"/>
  <c r="H33" i="16"/>
  <c r="K33" i="16" s="1"/>
  <c r="L11" i="15"/>
  <c r="B39" i="14"/>
  <c r="D36" i="14"/>
  <c r="E36" i="14" s="1"/>
  <c r="L13" i="14"/>
  <c r="X15" i="5"/>
  <c r="S18" i="11"/>
  <c r="E9" i="13"/>
  <c r="O15" i="5"/>
  <c r="AY15" i="5"/>
  <c r="E39" i="16"/>
  <c r="B41" i="13" s="1"/>
  <c r="AB15" i="5"/>
  <c r="BJ13" i="22"/>
  <c r="V14" i="10"/>
  <c r="N36" i="15"/>
  <c r="K20" i="16"/>
  <c r="V23" i="10"/>
  <c r="N4" i="5"/>
  <c r="AB4" i="5"/>
  <c r="AM15" i="5"/>
  <c r="BP13" i="22"/>
  <c r="AL13" i="22"/>
  <c r="V27" i="10"/>
  <c r="AK15" i="5"/>
  <c r="H10" i="16"/>
  <c r="K10" i="16" s="1"/>
  <c r="AL15" i="5"/>
  <c r="D30" i="14"/>
  <c r="E30" i="14" s="1"/>
  <c r="AF15" i="5"/>
  <c r="H27" i="16"/>
  <c r="K27" i="16" s="1"/>
  <c r="L27" i="16" s="1"/>
  <c r="D14" i="15"/>
  <c r="AY13" i="22"/>
  <c r="BX13" i="22"/>
  <c r="D47" i="15"/>
  <c r="E47" i="15" s="1"/>
  <c r="BP106" i="8"/>
  <c r="D26" i="13" s="1"/>
  <c r="AV15" i="5"/>
  <c r="P5" i="5"/>
  <c r="D26" i="15"/>
  <c r="E26" i="15" s="1"/>
  <c r="B46" i="15"/>
  <c r="N15" i="5"/>
  <c r="N45" i="14"/>
  <c r="BP96" i="8"/>
  <c r="D16" i="13" s="1"/>
  <c r="E31" i="22"/>
  <c r="W15" i="5"/>
  <c r="Y5" i="5"/>
  <c r="AQ13" i="22"/>
  <c r="B30" i="15"/>
  <c r="AZ6" i="5"/>
  <c r="AI6" i="5"/>
  <c r="AT6" i="5"/>
  <c r="AQ6" i="5"/>
  <c r="AS6" i="5"/>
  <c r="Q6" i="5"/>
  <c r="BA13" i="22"/>
  <c r="BU13" i="22"/>
  <c r="D49" i="15"/>
  <c r="E49" i="15" s="1"/>
  <c r="B10" i="22"/>
  <c r="E10" i="22" s="1"/>
  <c r="B12" i="15"/>
  <c r="L12" i="15" s="1"/>
  <c r="E37" i="16"/>
  <c r="L37" i="16" s="1"/>
  <c r="R5" i="5"/>
  <c r="B18" i="15"/>
  <c r="AH6" i="5"/>
  <c r="Z5" i="5"/>
  <c r="X6" i="5"/>
  <c r="D35" i="14"/>
  <c r="E35" i="14" s="1"/>
  <c r="AJ6" i="5"/>
  <c r="AA6" i="5"/>
  <c r="T6" i="5"/>
  <c r="AP6" i="5"/>
  <c r="AQ15" i="5"/>
  <c r="H23" i="16"/>
  <c r="K23" i="16" s="1"/>
  <c r="E16" i="22"/>
  <c r="BC13" i="22"/>
  <c r="BB13" i="22"/>
  <c r="CC131" i="8"/>
  <c r="H49" i="22" s="1"/>
  <c r="K49" i="22" s="1"/>
  <c r="AI5" i="5"/>
  <c r="Q5" i="5"/>
  <c r="AM6" i="5"/>
  <c r="M5" i="5"/>
  <c r="E26" i="22"/>
  <c r="V29" i="10"/>
  <c r="V26" i="10"/>
  <c r="H31" i="14"/>
  <c r="I31" i="14" s="1"/>
  <c r="D29" i="14"/>
  <c r="E29" i="14" s="1"/>
  <c r="AK4" i="5"/>
  <c r="Y6" i="5"/>
  <c r="AW13" i="22"/>
  <c r="AG13" i="22"/>
  <c r="AS2" i="22" s="1"/>
  <c r="U6" i="5"/>
  <c r="V4" i="5"/>
  <c r="B41" i="14"/>
  <c r="CC108" i="8"/>
  <c r="H26" i="22" s="1"/>
  <c r="AE26" i="22" s="1"/>
  <c r="CC96" i="8"/>
  <c r="H14" i="22" s="1"/>
  <c r="AE14" i="22" s="1"/>
  <c r="V31" i="10"/>
  <c r="V41" i="10"/>
  <c r="BP95" i="8"/>
  <c r="D15" i="13" s="1"/>
  <c r="W15" i="13" s="1"/>
  <c r="D45" i="14"/>
  <c r="E45" i="14" s="1"/>
  <c r="AC15" i="5"/>
  <c r="D12" i="14"/>
  <c r="BT13" i="22"/>
  <c r="BK13" i="22"/>
  <c r="B31" i="15"/>
  <c r="P6" i="5"/>
  <c r="Y15" i="5"/>
  <c r="AS15" i="5"/>
  <c r="AD5" i="5"/>
  <c r="D42" i="15"/>
  <c r="E42" i="15" s="1"/>
  <c r="AT13" i="22"/>
  <c r="D21" i="14"/>
  <c r="E21" i="14" s="1"/>
  <c r="M6" i="5"/>
  <c r="AU6" i="5"/>
  <c r="AW6" i="5"/>
  <c r="AV6" i="5"/>
  <c r="V37" i="10"/>
  <c r="E12" i="16"/>
  <c r="B14" i="13" s="1"/>
  <c r="AX6" i="5"/>
  <c r="Q15" i="5"/>
  <c r="AM5" i="5"/>
  <c r="T5" i="5"/>
  <c r="AQ5" i="5"/>
  <c r="AU5" i="5"/>
  <c r="N5" i="5"/>
  <c r="AK6" i="5"/>
  <c r="AF5" i="5"/>
  <c r="AZ13" i="22"/>
  <c r="D46" i="15"/>
  <c r="E46" i="15" s="1"/>
  <c r="AV5" i="5"/>
  <c r="H16" i="16"/>
  <c r="K16" i="16" s="1"/>
  <c r="L16" i="16" s="1"/>
  <c r="AK5" i="5"/>
  <c r="AP5" i="5"/>
  <c r="AW5" i="5"/>
  <c r="AT5" i="5"/>
  <c r="AY5" i="5"/>
  <c r="AG5" i="5"/>
  <c r="O5" i="5"/>
  <c r="E40" i="22"/>
  <c r="B50" i="14"/>
  <c r="AC5" i="5"/>
  <c r="BM13" i="22"/>
  <c r="A14" i="22"/>
  <c r="BK14" i="22" s="1"/>
  <c r="BP107" i="8"/>
  <c r="D27" i="13" s="1"/>
  <c r="BP108" i="8"/>
  <c r="D28" i="13" s="1"/>
  <c r="D37" i="14"/>
  <c r="E37" i="14" s="1"/>
  <c r="E33" i="22"/>
  <c r="B10" i="15"/>
  <c r="L10" i="15" s="1"/>
  <c r="N31" i="15"/>
  <c r="E45" i="16"/>
  <c r="B47" i="13" s="1"/>
  <c r="Y47" i="13" s="1"/>
  <c r="H39" i="15"/>
  <c r="I39" i="15" s="1"/>
  <c r="B13" i="15"/>
  <c r="L13" i="15" s="1"/>
  <c r="AR5" i="5"/>
  <c r="CE91" i="8"/>
  <c r="B39" i="22"/>
  <c r="E39" i="22" s="1"/>
  <c r="B37" i="22"/>
  <c r="E37" i="22" s="1"/>
  <c r="V19" i="10"/>
  <c r="V34" i="10"/>
  <c r="D31" i="14"/>
  <c r="E31" i="14" s="1"/>
  <c r="AQ16" i="5"/>
  <c r="P16" i="5"/>
  <c r="V17" i="10"/>
  <c r="H19" i="16"/>
  <c r="K19" i="16" s="1"/>
  <c r="AT4" i="5"/>
  <c r="E22" i="22"/>
  <c r="AP15" i="5"/>
  <c r="AZ5" i="5"/>
  <c r="E36" i="22"/>
  <c r="AQ4" i="5"/>
  <c r="AC6" i="5"/>
  <c r="AL5" i="5"/>
  <c r="AY6" i="5"/>
  <c r="AE15" i="5"/>
  <c r="AX5" i="5"/>
  <c r="B17" i="14"/>
  <c r="AS7" i="5"/>
  <c r="AT7" i="5"/>
  <c r="AR7" i="5"/>
  <c r="AS4" i="5"/>
  <c r="AA5" i="5"/>
  <c r="H31" i="16"/>
  <c r="K31" i="16" s="1"/>
  <c r="L31" i="16" s="1"/>
  <c r="CC105" i="8"/>
  <c r="H23" i="22" s="1"/>
  <c r="K23" i="22" s="1"/>
  <c r="L23" i="22" s="1"/>
  <c r="CC124" i="8"/>
  <c r="H42" i="22" s="1"/>
  <c r="AE42" i="22" s="1"/>
  <c r="N41" i="15"/>
  <c r="C6" i="15"/>
  <c r="AH4" i="5"/>
  <c r="AJ4" i="5"/>
  <c r="S4" i="5"/>
  <c r="AF4" i="5"/>
  <c r="O4" i="5"/>
  <c r="X4" i="5"/>
  <c r="M15" i="5"/>
  <c r="AJ5" i="5"/>
  <c r="AN5" i="5"/>
  <c r="CC106" i="8"/>
  <c r="H24" i="22" s="1"/>
  <c r="AE24" i="22" s="1"/>
  <c r="AL4" i="5"/>
  <c r="Q4" i="5"/>
  <c r="AH5" i="5"/>
  <c r="AD4" i="5"/>
  <c r="AU4" i="5"/>
  <c r="N49" i="15"/>
  <c r="D46" i="14"/>
  <c r="E46" i="14" s="1"/>
  <c r="AT16" i="5"/>
  <c r="O6" i="5"/>
  <c r="AL16" i="5"/>
  <c r="AJ7" i="5"/>
  <c r="M7" i="5"/>
  <c r="BM91" i="8"/>
  <c r="U16" i="5"/>
  <c r="AN16" i="5"/>
  <c r="AU16" i="5"/>
  <c r="AG16" i="5"/>
  <c r="AI16" i="5"/>
  <c r="Q16" i="5"/>
  <c r="Z16" i="5"/>
  <c r="AA7" i="5"/>
  <c r="AU7" i="5"/>
  <c r="K26" i="16"/>
  <c r="L26" i="16" s="1"/>
  <c r="AM4" i="5"/>
  <c r="AI4" i="5"/>
  <c r="B40" i="14"/>
  <c r="B14" i="15"/>
  <c r="L14" i="15" s="1"/>
  <c r="BI91" i="8"/>
  <c r="R4" i="5"/>
  <c r="BL91" i="8"/>
  <c r="V16" i="5"/>
  <c r="AO4" i="5"/>
  <c r="AY16" i="5"/>
  <c r="BT91" i="8"/>
  <c r="S16" i="5"/>
  <c r="Y4" i="5"/>
  <c r="AC16" i="5"/>
  <c r="AM16" i="5"/>
  <c r="T4" i="5"/>
  <c r="Y16" i="5"/>
  <c r="R16" i="5"/>
  <c r="AR16" i="5"/>
  <c r="CA91" i="8"/>
  <c r="E19" i="22"/>
  <c r="T8" i="10"/>
  <c r="V20" i="10"/>
  <c r="E25" i="22"/>
  <c r="K39" i="22"/>
  <c r="E18" i="22"/>
  <c r="AD16" i="5"/>
  <c r="K36" i="16"/>
  <c r="L36" i="16" s="1"/>
  <c r="AW16" i="5"/>
  <c r="Q8" i="10"/>
  <c r="M14" i="5" a="1"/>
  <c r="AT14" i="5" s="1"/>
  <c r="AK16" i="5"/>
  <c r="AA16" i="5"/>
  <c r="M16" i="5"/>
  <c r="B45" i="22"/>
  <c r="E45" i="22" s="1"/>
  <c r="H37" i="14"/>
  <c r="I37" i="14" s="1"/>
  <c r="R6" i="5"/>
  <c r="W5" i="5"/>
  <c r="B7" i="16"/>
  <c r="BX91" i="8"/>
  <c r="AG6" i="5"/>
  <c r="AE6" i="5"/>
  <c r="Z6" i="5"/>
  <c r="V5" i="5"/>
  <c r="D23" i="14"/>
  <c r="E23" i="14" s="1"/>
  <c r="D40" i="14"/>
  <c r="E40" i="14" s="1"/>
  <c r="AN29" i="9"/>
  <c r="D12" i="15"/>
  <c r="AO6" i="5"/>
  <c r="N6" i="5"/>
  <c r="AD6" i="5"/>
  <c r="V6" i="5"/>
  <c r="AN4" i="5"/>
  <c r="D7" i="16"/>
  <c r="C7" i="16"/>
  <c r="E49" i="22"/>
  <c r="CC123" i="8"/>
  <c r="H41" i="22" s="1"/>
  <c r="K41" i="22" s="1"/>
  <c r="J7" i="22"/>
  <c r="BK91" i="8"/>
  <c r="V47" i="10"/>
  <c r="E30" i="22"/>
  <c r="S8" i="10"/>
  <c r="CC127" i="8"/>
  <c r="H45" i="22" s="1"/>
  <c r="AE45" i="22" s="1"/>
  <c r="N27" i="14"/>
  <c r="H12" i="16"/>
  <c r="K12" i="16" s="1"/>
  <c r="AS16" i="5"/>
  <c r="M8" i="5" a="1"/>
  <c r="V8" i="5" s="1"/>
  <c r="AO16" i="5"/>
  <c r="Q7" i="5"/>
  <c r="V7" i="5"/>
  <c r="V50" i="10"/>
  <c r="AH7" i="5"/>
  <c r="B37" i="14"/>
  <c r="O7" i="5"/>
  <c r="AB7" i="5"/>
  <c r="AG7" i="5"/>
  <c r="AL7" i="5"/>
  <c r="P18" i="11"/>
  <c r="X16" i="5"/>
  <c r="AB6" i="5"/>
  <c r="AS5" i="5"/>
  <c r="E14" i="22"/>
  <c r="AH16" i="5"/>
  <c r="T7" i="5"/>
  <c r="E13" i="22"/>
  <c r="D16" i="15"/>
  <c r="U4" i="5"/>
  <c r="D32" i="14"/>
  <c r="E32" i="14" s="1"/>
  <c r="AF16" i="5"/>
  <c r="V42" i="10"/>
  <c r="AX7" i="5"/>
  <c r="AX16" i="5"/>
  <c r="AP4" i="5"/>
  <c r="AP16" i="5"/>
  <c r="AE16" i="5"/>
  <c r="O16" i="5"/>
  <c r="AQ7" i="5"/>
  <c r="AB16" i="5"/>
  <c r="AR20" i="5"/>
  <c r="AY7" i="5"/>
  <c r="W4" i="5"/>
  <c r="AZ7" i="5"/>
  <c r="W16" i="5"/>
  <c r="T16" i="5"/>
  <c r="AN7" i="5"/>
  <c r="N16" i="5"/>
  <c r="AJ16" i="5"/>
  <c r="S7" i="5"/>
  <c r="AR4" i="5"/>
  <c r="R7" i="5"/>
  <c r="AZ16" i="5"/>
  <c r="AK7" i="5"/>
  <c r="J7" i="16"/>
  <c r="AP7" i="5"/>
  <c r="J8" i="16"/>
  <c r="AE7" i="5"/>
  <c r="Q20" i="5"/>
  <c r="AG4" i="5"/>
  <c r="U8" i="10"/>
  <c r="C6" i="14"/>
  <c r="AG20" i="5"/>
  <c r="AZ20" i="5"/>
  <c r="N20" i="5"/>
  <c r="AX4" i="5"/>
  <c r="AY20" i="5"/>
  <c r="W20" i="5"/>
  <c r="AP20" i="5"/>
  <c r="AT20" i="5"/>
  <c r="AE4" i="5"/>
  <c r="V15" i="10"/>
  <c r="AS20" i="5"/>
  <c r="AH20" i="5"/>
  <c r="AV20" i="5"/>
  <c r="AO20" i="5"/>
  <c r="AA4" i="5"/>
  <c r="Y20" i="5"/>
  <c r="R20" i="5"/>
  <c r="X20" i="5"/>
  <c r="AC4" i="5"/>
  <c r="D7" i="22"/>
  <c r="O20" i="5"/>
  <c r="AD20" i="5"/>
  <c r="M4" i="5"/>
  <c r="AW4" i="5"/>
  <c r="C7" i="22"/>
  <c r="E41" i="22"/>
  <c r="AL6" i="5"/>
  <c r="P4" i="5"/>
  <c r="X7" i="5"/>
  <c r="AF6" i="5"/>
  <c r="AZ4" i="5"/>
  <c r="P7" i="5"/>
  <c r="AL20" i="5"/>
  <c r="T20" i="5"/>
  <c r="AC20" i="5"/>
  <c r="AV4" i="5"/>
  <c r="AV7" i="5"/>
  <c r="AM20" i="5"/>
  <c r="AM7" i="5"/>
  <c r="AI7" i="5"/>
  <c r="K11" i="16"/>
  <c r="L11" i="16" s="1"/>
  <c r="AB20" i="5"/>
  <c r="AA20" i="5"/>
  <c r="I8" i="16"/>
  <c r="Y7" i="5"/>
  <c r="Z7" i="5"/>
  <c r="V13" i="10"/>
  <c r="W7" i="5"/>
  <c r="E12" i="22"/>
  <c r="AW7" i="5"/>
  <c r="AF7" i="5"/>
  <c r="N7" i="5"/>
  <c r="AO7" i="5"/>
  <c r="AC7" i="5"/>
  <c r="AD7" i="5"/>
  <c r="M20" i="5"/>
  <c r="AK20" i="5"/>
  <c r="AI20" i="5"/>
  <c r="V20" i="5"/>
  <c r="AF20" i="5"/>
  <c r="AE20" i="5"/>
  <c r="P20" i="5"/>
  <c r="AX20" i="5"/>
  <c r="AY4" i="5"/>
  <c r="AJ20" i="5"/>
  <c r="AU20" i="5"/>
  <c r="Z20" i="5"/>
  <c r="AN20" i="5"/>
  <c r="AW20" i="5"/>
  <c r="S20" i="5"/>
  <c r="AQ20" i="5"/>
  <c r="AE18" i="22"/>
  <c r="L28" i="16"/>
  <c r="K15" i="22"/>
  <c r="L38" i="16"/>
  <c r="AE39" i="22"/>
  <c r="B40" i="13"/>
  <c r="X40" i="13" s="1"/>
  <c r="I17" i="15"/>
  <c r="B43" i="13"/>
  <c r="L41" i="16"/>
  <c r="AE33" i="22"/>
  <c r="K33" i="22"/>
  <c r="AE19" i="22"/>
  <c r="K19" i="22"/>
  <c r="I17" i="14"/>
  <c r="K31" i="22"/>
  <c r="AE31" i="22"/>
  <c r="B34" i="13"/>
  <c r="K11" i="22"/>
  <c r="L11" i="22" s="1"/>
  <c r="AE11" i="22"/>
  <c r="L13" i="16"/>
  <c r="B29" i="13"/>
  <c r="H10" i="22"/>
  <c r="AE34" i="22"/>
  <c r="K34" i="22"/>
  <c r="B44" i="13"/>
  <c r="L42" i="16"/>
  <c r="K20" i="22"/>
  <c r="L20" i="22" s="1"/>
  <c r="AE20" i="22"/>
  <c r="B51" i="13"/>
  <c r="L49" i="16"/>
  <c r="B13" i="13"/>
  <c r="K21" i="22"/>
  <c r="L21" i="22" s="1"/>
  <c r="AE21" i="22"/>
  <c r="B17" i="13"/>
  <c r="B38" i="13"/>
  <c r="AE22" i="22"/>
  <c r="K22" i="22"/>
  <c r="E17" i="14"/>
  <c r="X30" i="13"/>
  <c r="Y30" i="13"/>
  <c r="B18" i="13"/>
  <c r="K30" i="22"/>
  <c r="AE30" i="22"/>
  <c r="K46" i="22"/>
  <c r="L46" i="22" s="1"/>
  <c r="AE46" i="22"/>
  <c r="B24" i="13"/>
  <c r="X19" i="13"/>
  <c r="Y19" i="13"/>
  <c r="W19" i="13"/>
  <c r="AE35" i="22"/>
  <c r="K35" i="22"/>
  <c r="L35" i="22" s="1"/>
  <c r="I16" i="15"/>
  <c r="AE28" i="22"/>
  <c r="K28" i="22"/>
  <c r="B20" i="13"/>
  <c r="E16" i="15"/>
  <c r="L44" i="16"/>
  <c r="B46" i="13"/>
  <c r="D12" i="13"/>
  <c r="B28" i="13"/>
  <c r="AE48" i="22"/>
  <c r="K48" i="22"/>
  <c r="AE44" i="22"/>
  <c r="K44" i="22"/>
  <c r="L44" i="22" s="1"/>
  <c r="B49" i="13"/>
  <c r="L47" i="16"/>
  <c r="B33" i="13"/>
  <c r="X15" i="13"/>
  <c r="Y15" i="13"/>
  <c r="K12" i="22"/>
  <c r="AE12" i="22"/>
  <c r="B36" i="13"/>
  <c r="K32" i="22"/>
  <c r="AE32" i="22"/>
  <c r="B32" i="13"/>
  <c r="L30" i="16"/>
  <c r="L11" i="14"/>
  <c r="B26" i="13"/>
  <c r="L24" i="16"/>
  <c r="B23" i="13"/>
  <c r="AE36" i="22"/>
  <c r="K36" i="22"/>
  <c r="K47" i="22"/>
  <c r="L47" i="22" s="1"/>
  <c r="AE47" i="22"/>
  <c r="K29" i="22"/>
  <c r="AE29" i="22"/>
  <c r="O11" i="14"/>
  <c r="P11" i="14" s="1"/>
  <c r="B31" i="13"/>
  <c r="L17" i="16" l="1"/>
  <c r="Y50" i="13"/>
  <c r="L19" i="16"/>
  <c r="X25" i="13"/>
  <c r="AE38" i="22"/>
  <c r="L15" i="22"/>
  <c r="Y25" i="13"/>
  <c r="AA25" i="13" s="1"/>
  <c r="L23" i="16"/>
  <c r="K40" i="22"/>
  <c r="L40" i="22" s="1"/>
  <c r="AE27" i="22"/>
  <c r="L18" i="22"/>
  <c r="X22" i="13"/>
  <c r="L48" i="16"/>
  <c r="AE37" i="22"/>
  <c r="O12" i="14"/>
  <c r="P12" i="14" s="1"/>
  <c r="Z19" i="40"/>
  <c r="AC19" i="40" s="1"/>
  <c r="K13" i="22"/>
  <c r="L13" i="22" s="1"/>
  <c r="W50" i="13"/>
  <c r="L20" i="16"/>
  <c r="E19" i="14"/>
  <c r="W22" i="13"/>
  <c r="Z22" i="13" s="1"/>
  <c r="L14" i="16"/>
  <c r="I19" i="14"/>
  <c r="I6" i="14" s="1"/>
  <c r="X48" i="13"/>
  <c r="L46" i="16"/>
  <c r="W16" i="13"/>
  <c r="AH16" i="13" s="1"/>
  <c r="Y16" i="13"/>
  <c r="L10" i="16"/>
  <c r="X35" i="13"/>
  <c r="W35" i="13"/>
  <c r="AG35" i="13" s="1"/>
  <c r="E18" i="15"/>
  <c r="AD17" i="40"/>
  <c r="T17" i="40"/>
  <c r="R17" i="40"/>
  <c r="K43" i="22"/>
  <c r="L43" i="22" s="1"/>
  <c r="L32" i="22"/>
  <c r="L28" i="22"/>
  <c r="B45" i="13"/>
  <c r="Y45" i="13" s="1"/>
  <c r="L33" i="16"/>
  <c r="AQ14" i="22"/>
  <c r="E18" i="14"/>
  <c r="AE17" i="22"/>
  <c r="BZ14" i="22"/>
  <c r="CB14" i="22"/>
  <c r="Y27" i="13"/>
  <c r="W48" i="13"/>
  <c r="AH48" i="13" s="1"/>
  <c r="Q18" i="40"/>
  <c r="S18" i="40" s="1"/>
  <c r="W27" i="13"/>
  <c r="L25" i="16"/>
  <c r="BE14" i="22"/>
  <c r="L40" i="16"/>
  <c r="L29" i="22"/>
  <c r="L35" i="16"/>
  <c r="AA18" i="40"/>
  <c r="AC18" i="40"/>
  <c r="L34" i="22"/>
  <c r="BX14" i="22"/>
  <c r="AE25" i="22"/>
  <c r="L48" i="22"/>
  <c r="AR14" i="22"/>
  <c r="CH14" i="22"/>
  <c r="AX14" i="22"/>
  <c r="AS14" i="22"/>
  <c r="AG14" i="22"/>
  <c r="AT2" i="22" s="1"/>
  <c r="AV14" i="22"/>
  <c r="AL14" i="22"/>
  <c r="BL14" i="22"/>
  <c r="BH14" i="22"/>
  <c r="K16" i="22"/>
  <c r="L16" i="22" s="1"/>
  <c r="L31" i="22"/>
  <c r="AE49" i="22"/>
  <c r="N6" i="14"/>
  <c r="AW14" i="22"/>
  <c r="L39" i="16"/>
  <c r="CF14" i="22"/>
  <c r="AY14" i="22"/>
  <c r="B39" i="13"/>
  <c r="W39" i="13" s="1"/>
  <c r="E7" i="16"/>
  <c r="CD14" i="22"/>
  <c r="BJ14" i="22"/>
  <c r="BG14" i="22"/>
  <c r="AP14" i="22"/>
  <c r="BN14" i="22"/>
  <c r="BQ14" i="22"/>
  <c r="CA14" i="22"/>
  <c r="AJ14" i="22"/>
  <c r="BA14" i="22"/>
  <c r="AN14" i="22"/>
  <c r="CG14" i="22"/>
  <c r="AK14" i="22"/>
  <c r="BI14" i="22"/>
  <c r="AU14" i="22"/>
  <c r="K26" i="22"/>
  <c r="L26" i="22" s="1"/>
  <c r="AJ8" i="5"/>
  <c r="AM14" i="22"/>
  <c r="X47" i="13"/>
  <c r="BD14" i="22"/>
  <c r="BM14" i="22"/>
  <c r="K14" i="22"/>
  <c r="L14" i="22" s="1"/>
  <c r="CC14" i="22"/>
  <c r="CI14" i="22"/>
  <c r="AT14" i="22"/>
  <c r="CE14" i="22"/>
  <c r="A15" i="22"/>
  <c r="BL15" i="22" s="1"/>
  <c r="BP91" i="8"/>
  <c r="L37" i="22"/>
  <c r="L33" i="22"/>
  <c r="BV14" i="22"/>
  <c r="G15" i="5"/>
  <c r="J15" i="5" s="1"/>
  <c r="L12" i="16"/>
  <c r="BW14" i="22"/>
  <c r="AI14" i="22"/>
  <c r="AS14" i="5"/>
  <c r="AF14" i="5"/>
  <c r="BT14" i="22"/>
  <c r="BR14" i="22"/>
  <c r="AZ14" i="22"/>
  <c r="D9" i="13"/>
  <c r="AR8" i="5"/>
  <c r="BS14" i="22"/>
  <c r="BP14" i="22"/>
  <c r="N6" i="15"/>
  <c r="BF14" i="22"/>
  <c r="W47" i="13"/>
  <c r="Z47" i="13" s="1"/>
  <c r="L36" i="22"/>
  <c r="BO14" i="22"/>
  <c r="BU14" i="22"/>
  <c r="AH14" i="22"/>
  <c r="Z20" i="40" s="1"/>
  <c r="BB14" i="22"/>
  <c r="AO14" i="22"/>
  <c r="BC14" i="22"/>
  <c r="BY14" i="22"/>
  <c r="H6" i="15"/>
  <c r="G5" i="5"/>
  <c r="J5" i="5" s="1"/>
  <c r="AE23" i="22"/>
  <c r="E8" i="16"/>
  <c r="B6" i="14"/>
  <c r="R8" i="5"/>
  <c r="L39" i="22"/>
  <c r="AL8" i="5"/>
  <c r="Z8" i="5"/>
  <c r="AK8" i="5"/>
  <c r="L45" i="16"/>
  <c r="AM8" i="5"/>
  <c r="K42" i="22"/>
  <c r="L42" i="22" s="1"/>
  <c r="L22" i="22"/>
  <c r="B7" i="22"/>
  <c r="AI8" i="5"/>
  <c r="W8" i="5"/>
  <c r="S8" i="5"/>
  <c r="M14" i="5"/>
  <c r="AD8" i="5"/>
  <c r="AK14" i="5"/>
  <c r="AQ8" i="5"/>
  <c r="AV14" i="5"/>
  <c r="S14" i="5"/>
  <c r="AU14" i="5"/>
  <c r="W14" i="5"/>
  <c r="AW8" i="5"/>
  <c r="AZ14" i="5"/>
  <c r="AB8" i="5"/>
  <c r="O14" i="5"/>
  <c r="U14" i="5"/>
  <c r="K24" i="22"/>
  <c r="L24" i="22" s="1"/>
  <c r="L19" i="22"/>
  <c r="L25" i="22"/>
  <c r="AP14" i="5"/>
  <c r="B6" i="15"/>
  <c r="AN14" i="5"/>
  <c r="V14" i="5"/>
  <c r="T14" i="5"/>
  <c r="AY14" i="5"/>
  <c r="AV8" i="5"/>
  <c r="AN8" i="5"/>
  <c r="AG8" i="5"/>
  <c r="P8" i="5"/>
  <c r="AA8" i="5"/>
  <c r="AC14" i="5"/>
  <c r="R14" i="5"/>
  <c r="AE8" i="5"/>
  <c r="D6" i="15"/>
  <c r="AU8" i="5"/>
  <c r="Q14" i="5"/>
  <c r="AM14" i="5"/>
  <c r="AY8" i="5"/>
  <c r="P14" i="5"/>
  <c r="M8" i="5"/>
  <c r="X14" i="5"/>
  <c r="N14" i="5"/>
  <c r="AB14" i="5"/>
  <c r="U8" i="5"/>
  <c r="AS8" i="5"/>
  <c r="L49" i="22"/>
  <c r="AE14" i="5"/>
  <c r="O8" i="5"/>
  <c r="AI14" i="5"/>
  <c r="AL14" i="5"/>
  <c r="AQ14" i="5"/>
  <c r="H8" i="16"/>
  <c r="AH14" i="5"/>
  <c r="L30" i="22"/>
  <c r="AR14" i="5"/>
  <c r="AD14" i="5"/>
  <c r="Y14" i="5"/>
  <c r="AZ8" i="5"/>
  <c r="AA14" i="5"/>
  <c r="Z14" i="5"/>
  <c r="H7" i="16"/>
  <c r="AO14" i="5"/>
  <c r="AG14" i="5"/>
  <c r="AJ14" i="5"/>
  <c r="Y8" i="5"/>
  <c r="K45" i="22"/>
  <c r="L45" i="22" s="1"/>
  <c r="AW14" i="5"/>
  <c r="AX14" i="5"/>
  <c r="T8" i="5"/>
  <c r="D6" i="14"/>
  <c r="N8" i="5"/>
  <c r="AX8" i="5"/>
  <c r="CC91" i="8"/>
  <c r="AH8" i="5"/>
  <c r="AT8" i="5"/>
  <c r="L41" i="22"/>
  <c r="E17" i="15"/>
  <c r="AP8" i="5"/>
  <c r="H6" i="14"/>
  <c r="Q8" i="5"/>
  <c r="AF8" i="5"/>
  <c r="AO8" i="5"/>
  <c r="AE41" i="22"/>
  <c r="X8" i="5"/>
  <c r="AC8" i="5"/>
  <c r="G16" i="5"/>
  <c r="J16" i="5" s="1"/>
  <c r="L12" i="22"/>
  <c r="G6" i="5"/>
  <c r="J6" i="5" s="1"/>
  <c r="V8" i="10"/>
  <c r="G4" i="5"/>
  <c r="J4" i="5" s="1"/>
  <c r="G7" i="5"/>
  <c r="J7" i="5" s="1"/>
  <c r="G20" i="5"/>
  <c r="J20" i="5" s="1"/>
  <c r="W40" i="13"/>
  <c r="AH40" i="13" s="1"/>
  <c r="Y40" i="13"/>
  <c r="R11" i="14"/>
  <c r="S11" i="14" s="1"/>
  <c r="U11" i="14" s="1"/>
  <c r="Y36" i="13"/>
  <c r="W36" i="13"/>
  <c r="X36" i="13"/>
  <c r="Y49" i="13"/>
  <c r="W49" i="13"/>
  <c r="X49" i="13"/>
  <c r="F17" i="14"/>
  <c r="Y17" i="13"/>
  <c r="W17" i="13"/>
  <c r="X17" i="13"/>
  <c r="X37" i="13"/>
  <c r="W37" i="13"/>
  <c r="Y37" i="13"/>
  <c r="X24" i="13"/>
  <c r="W24" i="13"/>
  <c r="Y24" i="13"/>
  <c r="Y41" i="13"/>
  <c r="W41" i="13"/>
  <c r="X41" i="13"/>
  <c r="F16" i="15"/>
  <c r="G16" i="15" s="1"/>
  <c r="W43" i="13"/>
  <c r="AG43" i="13" s="1"/>
  <c r="Y43" i="13"/>
  <c r="X43" i="13"/>
  <c r="X34" i="13"/>
  <c r="W34" i="13"/>
  <c r="Y34" i="13"/>
  <c r="E7" i="22"/>
  <c r="J16" i="15"/>
  <c r="K16" i="15" s="1"/>
  <c r="I6" i="15"/>
  <c r="J17" i="14"/>
  <c r="K17" i="14" s="1"/>
  <c r="R10" i="15"/>
  <c r="X20" i="13"/>
  <c r="Y20" i="13"/>
  <c r="W20" i="13"/>
  <c r="X46" i="13"/>
  <c r="W46" i="13"/>
  <c r="AG46" i="13" s="1"/>
  <c r="Y46" i="13"/>
  <c r="AH25" i="13"/>
  <c r="X29" i="13"/>
  <c r="Y29" i="13"/>
  <c r="W29" i="13"/>
  <c r="Z19" i="13"/>
  <c r="AA19" i="13"/>
  <c r="AH19" i="13"/>
  <c r="W44" i="13"/>
  <c r="AG44" i="13" s="1"/>
  <c r="Y44" i="13"/>
  <c r="X44" i="13"/>
  <c r="AA15" i="13"/>
  <c r="AH15" i="13"/>
  <c r="Z15" i="13"/>
  <c r="P11" i="15"/>
  <c r="X18" i="13"/>
  <c r="W18" i="13"/>
  <c r="Y18" i="13"/>
  <c r="W21" i="13"/>
  <c r="X21" i="13"/>
  <c r="Y21" i="13"/>
  <c r="Y13" i="13"/>
  <c r="X13" i="13"/>
  <c r="W13" i="13"/>
  <c r="AG13" i="13" s="1"/>
  <c r="Z30" i="13"/>
  <c r="AH30" i="13"/>
  <c r="AA30" i="13"/>
  <c r="H7" i="22"/>
  <c r="K10" i="22"/>
  <c r="AE10" i="22"/>
  <c r="W51" i="13"/>
  <c r="Y51" i="13"/>
  <c r="X51" i="13"/>
  <c r="X31" i="13"/>
  <c r="Y31" i="13"/>
  <c r="W31" i="13"/>
  <c r="W32" i="13"/>
  <c r="X32" i="13"/>
  <c r="Y32" i="13"/>
  <c r="W33" i="13"/>
  <c r="Y33" i="13"/>
  <c r="X33" i="13"/>
  <c r="W12" i="13"/>
  <c r="X12" i="13"/>
  <c r="Y12" i="13"/>
  <c r="X28" i="13"/>
  <c r="W28" i="13"/>
  <c r="Y28" i="13"/>
  <c r="X38" i="13"/>
  <c r="W38" i="13"/>
  <c r="Y38" i="13"/>
  <c r="K8" i="16"/>
  <c r="K7" i="16"/>
  <c r="Y14" i="13"/>
  <c r="X14" i="13"/>
  <c r="W14" i="13"/>
  <c r="X23" i="13"/>
  <c r="Y23" i="13"/>
  <c r="W23" i="13"/>
  <c r="W26" i="13"/>
  <c r="X26" i="13"/>
  <c r="Y26" i="13"/>
  <c r="X42" i="13"/>
  <c r="W42" i="13"/>
  <c r="Y42" i="13"/>
  <c r="K14" i="13"/>
  <c r="Z50" i="13" l="1"/>
  <c r="Z25" i="13"/>
  <c r="AB19" i="40"/>
  <c r="Q19" i="40"/>
  <c r="T19" i="40" s="1"/>
  <c r="AA19" i="40"/>
  <c r="AA50" i="13"/>
  <c r="AH50" i="13"/>
  <c r="E6" i="14"/>
  <c r="AH22" i="13"/>
  <c r="AA22" i="13"/>
  <c r="AA16" i="13"/>
  <c r="Z16" i="13"/>
  <c r="E6" i="15"/>
  <c r="AA35" i="13"/>
  <c r="Z35" i="13"/>
  <c r="AH35" i="13"/>
  <c r="F18" i="14"/>
  <c r="G18" i="14" s="1"/>
  <c r="X45" i="13"/>
  <c r="W45" i="13"/>
  <c r="Z45" i="13" s="1"/>
  <c r="U17" i="40"/>
  <c r="R18" i="40"/>
  <c r="T18" i="40"/>
  <c r="Z48" i="13"/>
  <c r="AA48" i="13"/>
  <c r="AA27" i="13"/>
  <c r="AD18" i="40"/>
  <c r="Z27" i="13"/>
  <c r="AH27" i="13"/>
  <c r="B9" i="13"/>
  <c r="Y39" i="13"/>
  <c r="Z39" i="13" s="1"/>
  <c r="X39" i="13"/>
  <c r="CH15" i="22"/>
  <c r="BB15" i="22"/>
  <c r="BD15" i="22"/>
  <c r="BH15" i="22"/>
  <c r="AW15" i="22"/>
  <c r="BV15" i="22"/>
  <c r="AI15" i="22"/>
  <c r="AO15" i="22"/>
  <c r="A16" i="22"/>
  <c r="BR16" i="22" s="1"/>
  <c r="AT15" i="22"/>
  <c r="AX15" i="22"/>
  <c r="AJ15" i="22"/>
  <c r="BP15" i="22"/>
  <c r="AQ15" i="22"/>
  <c r="BG15" i="22"/>
  <c r="CA15" i="22"/>
  <c r="CF15" i="22"/>
  <c r="BY15" i="22"/>
  <c r="BJ15" i="22"/>
  <c r="CE15" i="22"/>
  <c r="AR15" i="22"/>
  <c r="AL15" i="22"/>
  <c r="AS15" i="22"/>
  <c r="AZ15" i="22"/>
  <c r="BX15" i="22"/>
  <c r="CI15" i="22"/>
  <c r="AY15" i="22"/>
  <c r="BU15" i="22"/>
  <c r="CD15" i="22"/>
  <c r="BS15" i="22"/>
  <c r="AV15" i="22"/>
  <c r="BE15" i="22"/>
  <c r="AU15" i="22"/>
  <c r="AG15" i="22"/>
  <c r="AU2" i="22" s="1"/>
  <c r="AM15" i="22"/>
  <c r="BF15" i="22"/>
  <c r="BK15" i="22"/>
  <c r="CG15" i="22"/>
  <c r="BZ15" i="22"/>
  <c r="AP15" i="22"/>
  <c r="BN15" i="22"/>
  <c r="AH15" i="22"/>
  <c r="Z21" i="40" s="1"/>
  <c r="CC15" i="22"/>
  <c r="BQ15" i="22"/>
  <c r="BM15" i="22"/>
  <c r="BR15" i="22"/>
  <c r="CB15" i="22"/>
  <c r="BA15" i="22"/>
  <c r="BW15" i="22"/>
  <c r="AN15" i="22"/>
  <c r="BC15" i="22"/>
  <c r="AH47" i="13"/>
  <c r="AK15" i="22"/>
  <c r="AA47" i="13"/>
  <c r="BO15" i="22"/>
  <c r="BI15" i="22"/>
  <c r="BT15" i="22"/>
  <c r="L7" i="16"/>
  <c r="AF14" i="22"/>
  <c r="AT4" i="22" s="1"/>
  <c r="L8" i="16"/>
  <c r="K7" i="22"/>
  <c r="G14" i="5"/>
  <c r="J14" i="5" s="1"/>
  <c r="AE7" i="22"/>
  <c r="J8" i="5"/>
  <c r="G8" i="5"/>
  <c r="AA40" i="13"/>
  <c r="Z40" i="13"/>
  <c r="L10" i="22"/>
  <c r="L7" i="22" s="1"/>
  <c r="L16" i="15"/>
  <c r="O13" i="14"/>
  <c r="P13" i="14" s="1"/>
  <c r="O12" i="15"/>
  <c r="P12" i="15" s="1"/>
  <c r="R12" i="15" s="1"/>
  <c r="J17" i="15"/>
  <c r="K17" i="15" s="1"/>
  <c r="J18" i="15" s="1"/>
  <c r="K18" i="15" s="1"/>
  <c r="J19" i="15" s="1"/>
  <c r="K19" i="15" s="1"/>
  <c r="J20" i="15" s="1"/>
  <c r="K20" i="15" s="1"/>
  <c r="J21" i="15" s="1"/>
  <c r="Z32" i="13"/>
  <c r="AH32" i="13"/>
  <c r="AA32" i="13"/>
  <c r="G12" i="13"/>
  <c r="H12" i="13" s="1"/>
  <c r="Z14" i="13"/>
  <c r="AH14" i="13"/>
  <c r="AA14" i="13"/>
  <c r="AH13" i="13"/>
  <c r="AA13" i="13"/>
  <c r="Z13" i="13"/>
  <c r="AH23" i="13"/>
  <c r="Z23" i="13"/>
  <c r="AA23" i="13"/>
  <c r="AH31" i="13"/>
  <c r="Z31" i="13"/>
  <c r="AA31" i="13"/>
  <c r="Z51" i="13"/>
  <c r="AH51" i="13"/>
  <c r="AA51" i="13"/>
  <c r="Z18" i="13"/>
  <c r="AH18" i="13"/>
  <c r="AA18" i="13"/>
  <c r="AB20" i="40"/>
  <c r="AA20" i="40"/>
  <c r="Q20" i="40"/>
  <c r="AC20" i="40"/>
  <c r="AH39" i="13"/>
  <c r="AA28" i="13"/>
  <c r="Z28" i="13"/>
  <c r="AH28" i="13"/>
  <c r="Z41" i="13"/>
  <c r="AH41" i="13"/>
  <c r="AA41" i="13"/>
  <c r="Z12" i="13"/>
  <c r="AH12" i="13"/>
  <c r="AA12" i="13"/>
  <c r="Z29" i="13"/>
  <c r="AA29" i="13"/>
  <c r="AH29" i="13"/>
  <c r="Z24" i="13"/>
  <c r="AH24" i="13"/>
  <c r="AA24" i="13"/>
  <c r="S10" i="15"/>
  <c r="V10" i="15" s="1"/>
  <c r="X10" i="15" s="1"/>
  <c r="AA49" i="13"/>
  <c r="Z49" i="13"/>
  <c r="AH49" i="13"/>
  <c r="J18" i="14"/>
  <c r="K18" i="14" s="1"/>
  <c r="J19" i="14" s="1"/>
  <c r="Z43" i="13"/>
  <c r="AH43" i="13"/>
  <c r="AA43" i="13"/>
  <c r="Z36" i="13"/>
  <c r="AA36" i="13"/>
  <c r="AH36" i="13"/>
  <c r="G17" i="14"/>
  <c r="L17" i="14" s="1"/>
  <c r="F17" i="15"/>
  <c r="AA37" i="13"/>
  <c r="Z37" i="13"/>
  <c r="AH37" i="13"/>
  <c r="AA21" i="13"/>
  <c r="Z21" i="13"/>
  <c r="AH21" i="13"/>
  <c r="Z34" i="13"/>
  <c r="AH34" i="13"/>
  <c r="AA34" i="13"/>
  <c r="AA38" i="13"/>
  <c r="Z38" i="13"/>
  <c r="AH38" i="13"/>
  <c r="Z33" i="13"/>
  <c r="AA33" i="13"/>
  <c r="AH33" i="13"/>
  <c r="Z20" i="13"/>
  <c r="AA20" i="13"/>
  <c r="AH20" i="13"/>
  <c r="Z46" i="13"/>
  <c r="AH46" i="13"/>
  <c r="AA46" i="13"/>
  <c r="AA44" i="13"/>
  <c r="Z44" i="13"/>
  <c r="AH44" i="13"/>
  <c r="AA26" i="13"/>
  <c r="Z26" i="13"/>
  <c r="AH26" i="13"/>
  <c r="AA42" i="13"/>
  <c r="AH42" i="13"/>
  <c r="AG42" i="13"/>
  <c r="AL3" i="13" s="1"/>
  <c r="Z42" i="13"/>
  <c r="V11" i="14"/>
  <c r="X11" i="14" s="1"/>
  <c r="T11" i="14"/>
  <c r="Z17" i="13"/>
  <c r="AA17" i="13"/>
  <c r="AH17" i="13"/>
  <c r="N14" i="13"/>
  <c r="M14" i="13"/>
  <c r="L14" i="13"/>
  <c r="AD19" i="40" l="1"/>
  <c r="R19" i="40"/>
  <c r="S19" i="40"/>
  <c r="F20" i="14"/>
  <c r="G20" i="14" s="1"/>
  <c r="F22" i="14" s="1"/>
  <c r="G22" i="14" s="1"/>
  <c r="F24" i="14" s="1"/>
  <c r="G24" i="14" s="1"/>
  <c r="F26" i="14" s="1"/>
  <c r="G26" i="14" s="1"/>
  <c r="F28" i="14" s="1"/>
  <c r="G28" i="14" s="1"/>
  <c r="F30" i="14" s="1"/>
  <c r="G30" i="14" s="1"/>
  <c r="F32" i="14" s="1"/>
  <c r="G32" i="14" s="1"/>
  <c r="F34" i="14" s="1"/>
  <c r="G34" i="14" s="1"/>
  <c r="F36" i="14" s="1"/>
  <c r="G36" i="14" s="1"/>
  <c r="F38" i="14" s="1"/>
  <c r="G38" i="14" s="1"/>
  <c r="F40" i="14" s="1"/>
  <c r="AA45" i="13"/>
  <c r="W9" i="13"/>
  <c r="AH45" i="13"/>
  <c r="X9" i="13"/>
  <c r="U18" i="40"/>
  <c r="Y9" i="13"/>
  <c r="AA39" i="13"/>
  <c r="AL16" i="22"/>
  <c r="BC16" i="22"/>
  <c r="AH16" i="22"/>
  <c r="Z22" i="40" s="1"/>
  <c r="BZ16" i="22"/>
  <c r="AO16" i="22"/>
  <c r="BQ16" i="22"/>
  <c r="BA16" i="22"/>
  <c r="BK16" i="22"/>
  <c r="BW16" i="22"/>
  <c r="BN16" i="22"/>
  <c r="BM16" i="22"/>
  <c r="AV16" i="22"/>
  <c r="CC16" i="22"/>
  <c r="A17" i="22"/>
  <c r="AW17" i="22" s="1"/>
  <c r="AX16" i="22"/>
  <c r="BT16" i="22"/>
  <c r="AY16" i="22"/>
  <c r="BE16" i="22"/>
  <c r="AM16" i="22"/>
  <c r="BG16" i="22"/>
  <c r="AJ16" i="22"/>
  <c r="AQ16" i="22"/>
  <c r="AN16" i="22"/>
  <c r="BP16" i="22"/>
  <c r="CB16" i="22"/>
  <c r="BL16" i="22"/>
  <c r="AK16" i="22"/>
  <c r="CE16" i="22"/>
  <c r="CD16" i="22"/>
  <c r="BJ16" i="22"/>
  <c r="BF16" i="22"/>
  <c r="CI16" i="22"/>
  <c r="CA16" i="22"/>
  <c r="BV16" i="22"/>
  <c r="BY16" i="22"/>
  <c r="AU16" i="22"/>
  <c r="AW16" i="22"/>
  <c r="AS16" i="22"/>
  <c r="CF16" i="22"/>
  <c r="BS16" i="22"/>
  <c r="CG16" i="22"/>
  <c r="BI16" i="22"/>
  <c r="BX16" i="22"/>
  <c r="BO16" i="22"/>
  <c r="AT16" i="22"/>
  <c r="BB16" i="22"/>
  <c r="CH16" i="22"/>
  <c r="BD16" i="22"/>
  <c r="AZ16" i="22"/>
  <c r="BH16" i="22"/>
  <c r="AG16" i="22"/>
  <c r="AV2" i="22" s="1"/>
  <c r="AI16" i="22"/>
  <c r="BU16" i="22"/>
  <c r="AR16" i="22"/>
  <c r="AP16" i="22"/>
  <c r="AF15" i="22"/>
  <c r="AU4" i="22" s="1"/>
  <c r="F19" i="14"/>
  <c r="G19" i="14" s="1"/>
  <c r="F21" i="14" s="1"/>
  <c r="G21" i="14" s="1"/>
  <c r="F23" i="14" s="1"/>
  <c r="G23" i="14" s="1"/>
  <c r="F25" i="14" s="1"/>
  <c r="G25" i="14" s="1"/>
  <c r="F27" i="14" s="1"/>
  <c r="G27" i="14" s="1"/>
  <c r="F29" i="14" s="1"/>
  <c r="G29" i="14" s="1"/>
  <c r="F31" i="14" s="1"/>
  <c r="G31" i="14" s="1"/>
  <c r="F33" i="14" s="1"/>
  <c r="G33" i="14" s="1"/>
  <c r="F35" i="14" s="1"/>
  <c r="G35" i="14" s="1"/>
  <c r="F37" i="14" s="1"/>
  <c r="G37" i="14" s="1"/>
  <c r="O13" i="15"/>
  <c r="P13" i="15" s="1"/>
  <c r="R13" i="15" s="1"/>
  <c r="R13" i="14"/>
  <c r="O14" i="14"/>
  <c r="P14" i="14" s="1"/>
  <c r="R14" i="14" s="1"/>
  <c r="L18" i="14"/>
  <c r="S20" i="40"/>
  <c r="T20" i="40"/>
  <c r="R20" i="40"/>
  <c r="U10" i="15"/>
  <c r="T10" i="15"/>
  <c r="G17" i="15"/>
  <c r="L17" i="15" s="1"/>
  <c r="K21" i="15"/>
  <c r="J22" i="15" s="1"/>
  <c r="N10" i="16"/>
  <c r="N10" i="22"/>
  <c r="Z9" i="13"/>
  <c r="O12" i="13"/>
  <c r="S12" i="13" s="1"/>
  <c r="P12" i="13"/>
  <c r="Q12" i="13"/>
  <c r="I12" i="13"/>
  <c r="O10" i="22"/>
  <c r="O10" i="16"/>
  <c r="AC21" i="40"/>
  <c r="Q21" i="40"/>
  <c r="AB21" i="40"/>
  <c r="AA21" i="40"/>
  <c r="AD20" i="40"/>
  <c r="AI51" i="13"/>
  <c r="AI50" i="13" s="1"/>
  <c r="AI49" i="13" s="1"/>
  <c r="AI48" i="13" s="1"/>
  <c r="AI47" i="13" s="1"/>
  <c r="AI46" i="13" s="1"/>
  <c r="K19" i="14"/>
  <c r="U19" i="40" l="1"/>
  <c r="AA9" i="13"/>
  <c r="AI45" i="13"/>
  <c r="AI44" i="13" s="1"/>
  <c r="AI43" i="13" s="1"/>
  <c r="AI42" i="13" s="1"/>
  <c r="AI41" i="13" s="1"/>
  <c r="AI40" i="13" s="1"/>
  <c r="AI39" i="13" s="1"/>
  <c r="BO17" i="22"/>
  <c r="BS17" i="22"/>
  <c r="CB17" i="22"/>
  <c r="CE17" i="22"/>
  <c r="CC17" i="22"/>
  <c r="BN17" i="22"/>
  <c r="BR17" i="22"/>
  <c r="BV17" i="22"/>
  <c r="AN17" i="22"/>
  <c r="AH17" i="22"/>
  <c r="Z23" i="40" s="1"/>
  <c r="CG17" i="22"/>
  <c r="AS17" i="22"/>
  <c r="BX17" i="22"/>
  <c r="AI17" i="22"/>
  <c r="AY17" i="22"/>
  <c r="BM17" i="22"/>
  <c r="AO17" i="22"/>
  <c r="A18" i="22"/>
  <c r="BX18" i="22" s="1"/>
  <c r="AZ17" i="22"/>
  <c r="BD17" i="22"/>
  <c r="BF17" i="22"/>
  <c r="AL17" i="22"/>
  <c r="AP17" i="22"/>
  <c r="BK17" i="22"/>
  <c r="BI17" i="22"/>
  <c r="AJ17" i="22"/>
  <c r="BH17" i="22"/>
  <c r="BZ17" i="22"/>
  <c r="BA17" i="22"/>
  <c r="BT17" i="22"/>
  <c r="AV17" i="22"/>
  <c r="AR17" i="22"/>
  <c r="CH17" i="22"/>
  <c r="AU17" i="22"/>
  <c r="AX17" i="22"/>
  <c r="AQ17" i="22"/>
  <c r="CF17" i="22"/>
  <c r="BP17" i="22"/>
  <c r="CD17" i="22"/>
  <c r="BG17" i="22"/>
  <c r="AM17" i="22"/>
  <c r="BC17" i="22"/>
  <c r="AG17" i="22"/>
  <c r="AW2" i="22" s="1"/>
  <c r="BB17" i="22"/>
  <c r="AF16" i="22"/>
  <c r="AV4" i="22" s="1"/>
  <c r="BQ17" i="22"/>
  <c r="BU17" i="22"/>
  <c r="AK17" i="22"/>
  <c r="BJ17" i="22"/>
  <c r="BL17" i="22"/>
  <c r="BY17" i="22"/>
  <c r="AT17" i="22"/>
  <c r="BE17" i="22"/>
  <c r="CA17" i="22"/>
  <c r="BW17" i="22"/>
  <c r="CI17" i="22"/>
  <c r="L19" i="14"/>
  <c r="P10" i="16"/>
  <c r="Q10" i="16" s="1"/>
  <c r="T10" i="16" s="1"/>
  <c r="U10" i="16" s="1"/>
  <c r="P10" i="22"/>
  <c r="Q10" i="22" s="1"/>
  <c r="T12" i="13"/>
  <c r="U12" i="13" s="1"/>
  <c r="V12" i="13" s="1"/>
  <c r="AD21" i="40"/>
  <c r="J20" i="14"/>
  <c r="K20" i="14" s="1"/>
  <c r="L20" i="14" s="1"/>
  <c r="O15" i="14"/>
  <c r="P15" i="14" s="1"/>
  <c r="R15" i="14" s="1"/>
  <c r="O14" i="15"/>
  <c r="P14" i="15" s="1"/>
  <c r="R14" i="15" s="1"/>
  <c r="F18" i="15"/>
  <c r="G18" i="15" s="1"/>
  <c r="L18" i="15" s="1"/>
  <c r="U20" i="40"/>
  <c r="G13" i="13"/>
  <c r="H13" i="13" s="1"/>
  <c r="I13" i="13" s="1"/>
  <c r="AC22" i="40"/>
  <c r="Q22" i="40"/>
  <c r="AB22" i="40"/>
  <c r="AA22" i="40"/>
  <c r="R21" i="40"/>
  <c r="S21" i="40"/>
  <c r="T21" i="40"/>
  <c r="K22" i="15"/>
  <c r="J23" i="15" s="1"/>
  <c r="G40" i="14"/>
  <c r="F42" i="14" s="1"/>
  <c r="F39" i="14"/>
  <c r="J15" i="13"/>
  <c r="AW18" i="22" l="1"/>
  <c r="CA18" i="22"/>
  <c r="AF17" i="22"/>
  <c r="AW4" i="22" s="1"/>
  <c r="BI18" i="22"/>
  <c r="AV18" i="22"/>
  <c r="AM18" i="22"/>
  <c r="CE18" i="22"/>
  <c r="AK18" i="22"/>
  <c r="AR18" i="22"/>
  <c r="AH18" i="22"/>
  <c r="AF18" i="22" s="1"/>
  <c r="AX4" i="22" s="1"/>
  <c r="BQ18" i="22"/>
  <c r="BB18" i="22"/>
  <c r="AN18" i="22"/>
  <c r="AO18" i="22"/>
  <c r="AP18" i="22"/>
  <c r="CC18" i="22"/>
  <c r="AJ18" i="22"/>
  <c r="CG18" i="22"/>
  <c r="AS18" i="22"/>
  <c r="BJ18" i="22"/>
  <c r="BP18" i="22"/>
  <c r="BH18" i="22"/>
  <c r="AL18" i="22"/>
  <c r="AU18" i="22"/>
  <c r="BO18" i="22"/>
  <c r="CH18" i="22"/>
  <c r="CB18" i="22"/>
  <c r="BL18" i="22"/>
  <c r="BF18" i="22"/>
  <c r="AZ18" i="22"/>
  <c r="BC18" i="22"/>
  <c r="BK18" i="22"/>
  <c r="AQ18" i="22"/>
  <c r="BZ18" i="22"/>
  <c r="AT18" i="22"/>
  <c r="BR18" i="22"/>
  <c r="CD18" i="22"/>
  <c r="AG18" i="22"/>
  <c r="AX2" i="22" s="1"/>
  <c r="BN18" i="22"/>
  <c r="AY18" i="22"/>
  <c r="BD18" i="22"/>
  <c r="BE18" i="22"/>
  <c r="A19" i="22"/>
  <c r="BT19" i="22" s="1"/>
  <c r="BY18" i="22"/>
  <c r="CI18" i="22"/>
  <c r="BG18" i="22"/>
  <c r="BA18" i="22"/>
  <c r="BM18" i="22"/>
  <c r="BT18" i="22"/>
  <c r="AI18" i="22"/>
  <c r="BU18" i="22"/>
  <c r="BW18" i="22"/>
  <c r="AX18" i="22"/>
  <c r="CF18" i="22"/>
  <c r="BS18" i="22"/>
  <c r="BV18" i="22"/>
  <c r="O15" i="15"/>
  <c r="P15" i="15" s="1"/>
  <c r="O16" i="15" s="1"/>
  <c r="P16" i="15" s="1"/>
  <c r="O17" i="15" s="1"/>
  <c r="P17" i="15" s="1"/>
  <c r="O18" i="15" s="1"/>
  <c r="P18" i="15" s="1"/>
  <c r="O19" i="15" s="1"/>
  <c r="P19" i="15" s="1"/>
  <c r="O20" i="15" s="1"/>
  <c r="P20" i="15" s="1"/>
  <c r="O21" i="15" s="1"/>
  <c r="P21" i="15" s="1"/>
  <c r="O22" i="15" s="1"/>
  <c r="P22" i="15" s="1"/>
  <c r="O23" i="15" s="1"/>
  <c r="P23" i="15" s="1"/>
  <c r="O24" i="15" s="1"/>
  <c r="AD22" i="40"/>
  <c r="O16" i="14"/>
  <c r="P16" i="14" s="1"/>
  <c r="O17" i="14" s="1"/>
  <c r="P17" i="14" s="1"/>
  <c r="O18" i="14" s="1"/>
  <c r="P18" i="14" s="1"/>
  <c r="O19" i="14" s="1"/>
  <c r="P19" i="14" s="1"/>
  <c r="O20" i="14" s="1"/>
  <c r="P20" i="14" s="1"/>
  <c r="O21" i="14" s="1"/>
  <c r="P21" i="14" s="1"/>
  <c r="O22" i="14" s="1"/>
  <c r="P22" i="14" s="1"/>
  <c r="O23" i="14" s="1"/>
  <c r="P23" i="14" s="1"/>
  <c r="O24" i="14" s="1"/>
  <c r="P24" i="14" s="1"/>
  <c r="O25" i="14" s="1"/>
  <c r="F19" i="15"/>
  <c r="G19" i="15" s="1"/>
  <c r="L19" i="15" s="1"/>
  <c r="K23" i="15"/>
  <c r="J24" i="15" s="1"/>
  <c r="G14" i="13"/>
  <c r="H14" i="13" s="1"/>
  <c r="I14" i="13" s="1"/>
  <c r="AQ13" i="13"/>
  <c r="Q13" i="13"/>
  <c r="P13" i="13"/>
  <c r="AS13" i="13" s="1"/>
  <c r="O13" i="13"/>
  <c r="U21" i="40"/>
  <c r="Q23" i="40"/>
  <c r="AC23" i="40"/>
  <c r="AC15" i="40" s="1"/>
  <c r="AA23" i="40"/>
  <c r="AB23" i="40"/>
  <c r="AB15" i="40" s="1"/>
  <c r="T22" i="40"/>
  <c r="R22" i="40"/>
  <c r="S22" i="40"/>
  <c r="J21" i="14"/>
  <c r="G42" i="14"/>
  <c r="F44" i="14" s="1"/>
  <c r="G39" i="14"/>
  <c r="F41" i="14" s="1"/>
  <c r="AI38" i="13"/>
  <c r="BC19" i="22" l="1"/>
  <c r="CB19" i="22"/>
  <c r="BJ19" i="22"/>
  <c r="AG19" i="22"/>
  <c r="AY2" i="22" s="1"/>
  <c r="AU19" i="22"/>
  <c r="AM19" i="22"/>
  <c r="AK19" i="22"/>
  <c r="BA19" i="22"/>
  <c r="BP19" i="22"/>
  <c r="BK19" i="22"/>
  <c r="BN19" i="22"/>
  <c r="CH19" i="22"/>
  <c r="BR19" i="22"/>
  <c r="CI19" i="22"/>
  <c r="BU19" i="22"/>
  <c r="BX19" i="22"/>
  <c r="CC19" i="22"/>
  <c r="BS19" i="22"/>
  <c r="BB19" i="22"/>
  <c r="BG19" i="22"/>
  <c r="AO19" i="22"/>
  <c r="AS19" i="22"/>
  <c r="BZ19" i="22"/>
  <c r="BY19" i="22"/>
  <c r="CD19" i="22"/>
  <c r="AH19" i="22"/>
  <c r="AF19" i="22" s="1"/>
  <c r="AY4" i="22" s="1"/>
  <c r="BM19" i="22"/>
  <c r="AJ19" i="22"/>
  <c r="BH19" i="22"/>
  <c r="AP19" i="22"/>
  <c r="CA19" i="22"/>
  <c r="AI19" i="22"/>
  <c r="CG19" i="22"/>
  <c r="AQ19" i="22"/>
  <c r="BW19" i="22"/>
  <c r="AX19" i="22"/>
  <c r="BO19" i="22"/>
  <c r="BE19" i="22"/>
  <c r="CE19" i="22"/>
  <c r="AV19" i="22"/>
  <c r="BI19" i="22"/>
  <c r="A20" i="22"/>
  <c r="AN20" i="22" s="1"/>
  <c r="AZ19" i="22"/>
  <c r="AY19" i="22"/>
  <c r="BL19" i="22"/>
  <c r="BV19" i="22"/>
  <c r="AW19" i="22"/>
  <c r="BF19" i="22"/>
  <c r="AT19" i="22"/>
  <c r="CF19" i="22"/>
  <c r="AR19" i="22"/>
  <c r="BQ19" i="22"/>
  <c r="BD19" i="22"/>
  <c r="AL19" i="22"/>
  <c r="AN19" i="22"/>
  <c r="K24" i="15"/>
  <c r="J25" i="15" s="1"/>
  <c r="F20" i="15"/>
  <c r="G20" i="15" s="1"/>
  <c r="L20" i="15" s="1"/>
  <c r="AR13" i="13"/>
  <c r="S13" i="13"/>
  <c r="T13" i="13" s="1"/>
  <c r="U13" i="13" s="1"/>
  <c r="V13" i="13" s="1"/>
  <c r="AT13" i="13"/>
  <c r="R23" i="40"/>
  <c r="T23" i="40"/>
  <c r="T15" i="40" s="1"/>
  <c r="S23" i="40"/>
  <c r="S15" i="40" s="1"/>
  <c r="AD23" i="40"/>
  <c r="AA15" i="40"/>
  <c r="AD15" i="40" s="1"/>
  <c r="K12" i="5" s="1"/>
  <c r="I19" i="2" s="1"/>
  <c r="G75" i="2" s="1"/>
  <c r="G79" i="2" s="1"/>
  <c r="G15" i="13"/>
  <c r="H15" i="13" s="1"/>
  <c r="I15" i="13" s="1"/>
  <c r="AQ14" i="13"/>
  <c r="K21" i="14"/>
  <c r="L21" i="14" s="1"/>
  <c r="Q14" i="13"/>
  <c r="O14" i="13"/>
  <c r="P14" i="13"/>
  <c r="AS14" i="13" s="1"/>
  <c r="U22" i="40"/>
  <c r="P24" i="15"/>
  <c r="O25" i="15" s="1"/>
  <c r="P25" i="14"/>
  <c r="O26" i="14" s="1"/>
  <c r="G41" i="14"/>
  <c r="G44" i="14"/>
  <c r="F46" i="14" s="1"/>
  <c r="AI37" i="13"/>
  <c r="AH20" i="22" l="1"/>
  <c r="AF20" i="22" s="1"/>
  <c r="AZ4" i="22" s="1"/>
  <c r="BV20" i="22"/>
  <c r="AQ20" i="22"/>
  <c r="AS20" i="22"/>
  <c r="BP20" i="22"/>
  <c r="AM20" i="22"/>
  <c r="CI20" i="22"/>
  <c r="BR20" i="22"/>
  <c r="BW20" i="22"/>
  <c r="CH20" i="22"/>
  <c r="BT20" i="22"/>
  <c r="BO20" i="22"/>
  <c r="CB20" i="22"/>
  <c r="CG20" i="22"/>
  <c r="BH20" i="22"/>
  <c r="BN20" i="22"/>
  <c r="CE20" i="22"/>
  <c r="AO20" i="22"/>
  <c r="AL20" i="22"/>
  <c r="BB20" i="22"/>
  <c r="BM20" i="22"/>
  <c r="AI20" i="22"/>
  <c r="AX20" i="22"/>
  <c r="BQ20" i="22"/>
  <c r="AZ20" i="22"/>
  <c r="BE20" i="22"/>
  <c r="BX20" i="22"/>
  <c r="BL20" i="22"/>
  <c r="CC20" i="22"/>
  <c r="BZ20" i="22"/>
  <c r="BF20" i="22"/>
  <c r="BD20" i="22"/>
  <c r="CA20" i="22"/>
  <c r="BI20" i="22"/>
  <c r="BJ20" i="22"/>
  <c r="BA20" i="22"/>
  <c r="AJ20" i="22"/>
  <c r="CF20" i="22"/>
  <c r="AY20" i="22"/>
  <c r="AT20" i="22"/>
  <c r="BG20" i="22"/>
  <c r="A21" i="22"/>
  <c r="BU21" i="22" s="1"/>
  <c r="AG20" i="22"/>
  <c r="AZ2" i="22" s="1"/>
  <c r="CD20" i="22"/>
  <c r="AK20" i="22"/>
  <c r="BU20" i="22"/>
  <c r="AP20" i="22"/>
  <c r="AU20" i="22"/>
  <c r="AR20" i="22"/>
  <c r="BC20" i="22"/>
  <c r="BY20" i="22"/>
  <c r="AW20" i="22"/>
  <c r="AV20" i="22"/>
  <c r="BS20" i="22"/>
  <c r="BK20" i="22"/>
  <c r="J22" i="14"/>
  <c r="K22" i="14" s="1"/>
  <c r="L22" i="14" s="1"/>
  <c r="K25" i="15"/>
  <c r="J26" i="15" s="1"/>
  <c r="K26" i="15" s="1"/>
  <c r="F21" i="15"/>
  <c r="G21" i="15" s="1"/>
  <c r="L21" i="15" s="1"/>
  <c r="AT14" i="13"/>
  <c r="R15" i="40"/>
  <c r="U15" i="40" s="1"/>
  <c r="U23" i="40"/>
  <c r="AR14" i="13"/>
  <c r="S14" i="13"/>
  <c r="AQ15" i="13"/>
  <c r="G16" i="13"/>
  <c r="H16" i="13" s="1"/>
  <c r="I16" i="13" s="1"/>
  <c r="J16" i="13" s="1"/>
  <c r="K16" i="13" s="1"/>
  <c r="K15" i="13"/>
  <c r="P26" i="14"/>
  <c r="O27" i="14" s="1"/>
  <c r="P25" i="15"/>
  <c r="O26" i="15" s="1"/>
  <c r="AI36" i="13"/>
  <c r="G46" i="14"/>
  <c r="F48" i="14" s="1"/>
  <c r="F43" i="14"/>
  <c r="BI21" i="22" l="1"/>
  <c r="BK21" i="22"/>
  <c r="BA21" i="22"/>
  <c r="A22" i="22"/>
  <c r="BR22" i="22" s="1"/>
  <c r="BF21" i="22"/>
  <c r="CH21" i="22"/>
  <c r="AO21" i="22"/>
  <c r="BS21" i="22"/>
  <c r="BN21" i="22"/>
  <c r="BR21" i="22"/>
  <c r="AT21" i="22"/>
  <c r="BP21" i="22"/>
  <c r="AY21" i="22"/>
  <c r="BT21" i="22"/>
  <c r="BO21" i="22"/>
  <c r="AI21" i="22"/>
  <c r="BW21" i="22"/>
  <c r="AJ21" i="22"/>
  <c r="CC21" i="22"/>
  <c r="CG21" i="22"/>
  <c r="BC21" i="22"/>
  <c r="CD21" i="22"/>
  <c r="BV21" i="22"/>
  <c r="CA21" i="22"/>
  <c r="BG21" i="22"/>
  <c r="CF21" i="22"/>
  <c r="AM21" i="22"/>
  <c r="AX21" i="22"/>
  <c r="BL21" i="22"/>
  <c r="AQ21" i="22"/>
  <c r="AL21" i="22"/>
  <c r="AN21" i="22"/>
  <c r="AS21" i="22"/>
  <c r="BZ21" i="22"/>
  <c r="AH21" i="22"/>
  <c r="AF21" i="22" s="1"/>
  <c r="BA4" i="22" s="1"/>
  <c r="BX21" i="22"/>
  <c r="AV21" i="22"/>
  <c r="AK21" i="22"/>
  <c r="BD21" i="22"/>
  <c r="BJ21" i="22"/>
  <c r="AP21" i="22"/>
  <c r="CE21" i="22"/>
  <c r="BB21" i="22"/>
  <c r="BH21" i="22"/>
  <c r="AW21" i="22"/>
  <c r="AR21" i="22"/>
  <c r="AZ21" i="22"/>
  <c r="BE21" i="22"/>
  <c r="AG21" i="22"/>
  <c r="BA2" i="22" s="1"/>
  <c r="AU21" i="22"/>
  <c r="BM21" i="22"/>
  <c r="CI21" i="22"/>
  <c r="CB21" i="22"/>
  <c r="BY21" i="22"/>
  <c r="BQ21" i="22"/>
  <c r="J27" i="15"/>
  <c r="K27" i="15" s="1"/>
  <c r="J23" i="14"/>
  <c r="K23" i="14" s="1"/>
  <c r="L23" i="14" s="1"/>
  <c r="F22" i="15"/>
  <c r="G22" i="15" s="1"/>
  <c r="L22" i="15" s="1"/>
  <c r="T14" i="13"/>
  <c r="U14" i="13" s="1"/>
  <c r="V14" i="13" s="1"/>
  <c r="AQ16" i="13"/>
  <c r="G17" i="13"/>
  <c r="H17" i="13" s="1"/>
  <c r="I17" i="13" s="1"/>
  <c r="M15" i="13"/>
  <c r="P15" i="13" s="1"/>
  <c r="L15" i="13"/>
  <c r="O15" i="13" s="1"/>
  <c r="N15" i="13"/>
  <c r="Q15" i="13" s="1"/>
  <c r="AT15" i="13" s="1"/>
  <c r="P26" i="15"/>
  <c r="O27" i="15" s="1"/>
  <c r="P27" i="14"/>
  <c r="O28" i="14" s="1"/>
  <c r="G48" i="14"/>
  <c r="F50" i="14" s="1"/>
  <c r="G50" i="14" s="1"/>
  <c r="AI35" i="13"/>
  <c r="G43" i="14"/>
  <c r="F45" i="14" s="1"/>
  <c r="L16" i="13"/>
  <c r="M16" i="13"/>
  <c r="N16" i="13"/>
  <c r="AV22" i="22" l="1"/>
  <c r="AG22" i="22"/>
  <c r="BB2" i="22" s="1"/>
  <c r="AJ22" i="22"/>
  <c r="CD22" i="22"/>
  <c r="BW22" i="22"/>
  <c r="AN22" i="22"/>
  <c r="BH22" i="22"/>
  <c r="AP22" i="22"/>
  <c r="BP22" i="22"/>
  <c r="CC22" i="22"/>
  <c r="BQ22" i="22"/>
  <c r="BJ22" i="22"/>
  <c r="BG22" i="22"/>
  <c r="AY22" i="22"/>
  <c r="AK22" i="22"/>
  <c r="BM22" i="22"/>
  <c r="CA22" i="22"/>
  <c r="BF22" i="22"/>
  <c r="CB22" i="22"/>
  <c r="AS22" i="22"/>
  <c r="BX22" i="22"/>
  <c r="BL22" i="22"/>
  <c r="BA22" i="22"/>
  <c r="A23" i="22"/>
  <c r="BZ23" i="22" s="1"/>
  <c r="AO22" i="22"/>
  <c r="CH22" i="22"/>
  <c r="BZ22" i="22"/>
  <c r="AQ22" i="22"/>
  <c r="BK22" i="22"/>
  <c r="BY22" i="22"/>
  <c r="BT22" i="22"/>
  <c r="AR22" i="22"/>
  <c r="AU22" i="22"/>
  <c r="BI22" i="22"/>
  <c r="BS22" i="22"/>
  <c r="CG22" i="22"/>
  <c r="AL22" i="22"/>
  <c r="CI22" i="22"/>
  <c r="AX22" i="22"/>
  <c r="AH22" i="22"/>
  <c r="AF22" i="22" s="1"/>
  <c r="BB4" i="22" s="1"/>
  <c r="BO22" i="22"/>
  <c r="BV22" i="22"/>
  <c r="BE22" i="22"/>
  <c r="CE22" i="22"/>
  <c r="AM22" i="22"/>
  <c r="AW22" i="22"/>
  <c r="AZ22" i="22"/>
  <c r="BN22" i="22"/>
  <c r="BB22" i="22"/>
  <c r="BD22" i="22"/>
  <c r="BC22" i="22"/>
  <c r="AI22" i="22"/>
  <c r="AT22" i="22"/>
  <c r="BU22" i="22"/>
  <c r="CF22" i="22"/>
  <c r="J28" i="15"/>
  <c r="K28" i="15" s="1"/>
  <c r="F23" i="15"/>
  <c r="G23" i="15" s="1"/>
  <c r="L23" i="15" s="1"/>
  <c r="S15" i="13"/>
  <c r="T15" i="13" s="1"/>
  <c r="AR15" i="13"/>
  <c r="AS15" i="13"/>
  <c r="J24" i="14"/>
  <c r="P28" i="14"/>
  <c r="O29" i="14" s="1"/>
  <c r="G45" i="14"/>
  <c r="F47" i="14" s="1"/>
  <c r="P27" i="15"/>
  <c r="O28" i="15" s="1"/>
  <c r="O16" i="13"/>
  <c r="G18" i="13"/>
  <c r="H18" i="13" s="1"/>
  <c r="AQ17" i="13"/>
  <c r="J17" i="13"/>
  <c r="K17" i="13" s="1"/>
  <c r="Q16" i="13"/>
  <c r="AI34" i="13"/>
  <c r="P16" i="13"/>
  <c r="BE23" i="22" l="1"/>
  <c r="BM23" i="22"/>
  <c r="CD23" i="22"/>
  <c r="BU23" i="22"/>
  <c r="BL23" i="22"/>
  <c r="AM23" i="22"/>
  <c r="BC23" i="22"/>
  <c r="BH23" i="22"/>
  <c r="BG23" i="22"/>
  <c r="CG23" i="22"/>
  <c r="A24" i="22"/>
  <c r="BF24" i="22" s="1"/>
  <c r="BQ23" i="22"/>
  <c r="AL23" i="22"/>
  <c r="CE23" i="22"/>
  <c r="AQ23" i="22"/>
  <c r="AY23" i="22"/>
  <c r="BI23" i="22"/>
  <c r="BF23" i="22"/>
  <c r="AI23" i="22"/>
  <c r="AT23" i="22"/>
  <c r="AJ23" i="22"/>
  <c r="AK23" i="22"/>
  <c r="CB23" i="22"/>
  <c r="BJ23" i="22"/>
  <c r="AW23" i="22"/>
  <c r="CH23" i="22"/>
  <c r="BS23" i="22"/>
  <c r="CF23" i="22"/>
  <c r="AN23" i="22"/>
  <c r="AV23" i="22"/>
  <c r="CA23" i="22"/>
  <c r="BO23" i="22"/>
  <c r="AO23" i="22"/>
  <c r="BB23" i="22"/>
  <c r="BA23" i="22"/>
  <c r="AZ23" i="22"/>
  <c r="BK23" i="22"/>
  <c r="BD23" i="22"/>
  <c r="BY23" i="22"/>
  <c r="AP23" i="22"/>
  <c r="BX23" i="22"/>
  <c r="BV23" i="22"/>
  <c r="BP23" i="22"/>
  <c r="CC23" i="22"/>
  <c r="AS23" i="22"/>
  <c r="AU23" i="22"/>
  <c r="BN23" i="22"/>
  <c r="BR23" i="22"/>
  <c r="AG23" i="22"/>
  <c r="BC2" i="22" s="1"/>
  <c r="CI23" i="22"/>
  <c r="AR23" i="22"/>
  <c r="AX23" i="22"/>
  <c r="AH23" i="22"/>
  <c r="AF23" i="22" s="1"/>
  <c r="BC4" i="22" s="1"/>
  <c r="BW23" i="22"/>
  <c r="BT23" i="22"/>
  <c r="J29" i="15"/>
  <c r="K29" i="15" s="1"/>
  <c r="J30" i="15" s="1"/>
  <c r="K30" i="15" s="1"/>
  <c r="J31" i="15" s="1"/>
  <c r="K31" i="15" s="1"/>
  <c r="J32" i="15" s="1"/>
  <c r="F24" i="15"/>
  <c r="G24" i="15" s="1"/>
  <c r="L24" i="15" s="1"/>
  <c r="U15" i="13"/>
  <c r="V15" i="13" s="1"/>
  <c r="K24" i="14"/>
  <c r="L24" i="14" s="1"/>
  <c r="P29" i="14"/>
  <c r="O30" i="14" s="1"/>
  <c r="P28" i="15"/>
  <c r="O29" i="15" s="1"/>
  <c r="S16" i="13"/>
  <c r="AR16" i="13"/>
  <c r="G47" i="14"/>
  <c r="F49" i="14" s="1"/>
  <c r="G49" i="14" s="1"/>
  <c r="I18" i="13"/>
  <c r="AT16" i="13"/>
  <c r="AS16" i="13"/>
  <c r="AI33" i="13"/>
  <c r="N17" i="13"/>
  <c r="Q17" i="13" s="1"/>
  <c r="M17" i="13"/>
  <c r="P17" i="13" s="1"/>
  <c r="L17" i="13"/>
  <c r="O17" i="13" s="1"/>
  <c r="BL24" i="22" l="1"/>
  <c r="CC24" i="22"/>
  <c r="BT24" i="22"/>
  <c r="AQ24" i="22"/>
  <c r="BB24" i="22"/>
  <c r="AW24" i="22"/>
  <c r="BX24" i="22"/>
  <c r="BZ24" i="22"/>
  <c r="BD24" i="22"/>
  <c r="BK24" i="22"/>
  <c r="AP24" i="22"/>
  <c r="BI24" i="22"/>
  <c r="AT24" i="22"/>
  <c r="BV24" i="22"/>
  <c r="AH24" i="22"/>
  <c r="AF24" i="22" s="1"/>
  <c r="BD4" i="22" s="1"/>
  <c r="CB24" i="22"/>
  <c r="CF24" i="22"/>
  <c r="BW24" i="22"/>
  <c r="AS24" i="22"/>
  <c r="BQ24" i="22"/>
  <c r="AL24" i="22"/>
  <c r="BN24" i="22"/>
  <c r="AJ24" i="22"/>
  <c r="BE24" i="22"/>
  <c r="BR24" i="22"/>
  <c r="CH24" i="22"/>
  <c r="AR24" i="22"/>
  <c r="AK24" i="22"/>
  <c r="AU24" i="22"/>
  <c r="BO24" i="22"/>
  <c r="BU24" i="22"/>
  <c r="BA24" i="22"/>
  <c r="AY24" i="22"/>
  <c r="BH24" i="22"/>
  <c r="CA24" i="22"/>
  <c r="CG24" i="22"/>
  <c r="AI24" i="22"/>
  <c r="BM24" i="22"/>
  <c r="AG24" i="22"/>
  <c r="BD2" i="22" s="1"/>
  <c r="CE24" i="22"/>
  <c r="AV24" i="22"/>
  <c r="BS24" i="22"/>
  <c r="BY24" i="22"/>
  <c r="AX24" i="22"/>
  <c r="BP24" i="22"/>
  <c r="CI24" i="22"/>
  <c r="AM24" i="22"/>
  <c r="BC24" i="22"/>
  <c r="BJ24" i="22"/>
  <c r="A25" i="22"/>
  <c r="AU25" i="22" s="1"/>
  <c r="AO24" i="22"/>
  <c r="AZ24" i="22"/>
  <c r="AN24" i="22"/>
  <c r="BG24" i="22"/>
  <c r="CD24" i="22"/>
  <c r="F25" i="15"/>
  <c r="G25" i="15" s="1"/>
  <c r="L25" i="15" s="1"/>
  <c r="J25" i="14"/>
  <c r="K25" i="14" s="1"/>
  <c r="L25" i="14" s="1"/>
  <c r="P29" i="15"/>
  <c r="O30" i="15" s="1"/>
  <c r="P30" i="14"/>
  <c r="O31" i="14" s="1"/>
  <c r="G19" i="13"/>
  <c r="H19" i="13" s="1"/>
  <c r="I19" i="13" s="1"/>
  <c r="AQ18" i="13"/>
  <c r="J18" i="13"/>
  <c r="K18" i="13" s="1"/>
  <c r="K32" i="15"/>
  <c r="G6" i="14"/>
  <c r="S17" i="13"/>
  <c r="T17" i="13" s="1"/>
  <c r="AC17" i="13" s="1"/>
  <c r="AR17" i="13"/>
  <c r="AS17" i="13"/>
  <c r="AI32" i="13"/>
  <c r="T16" i="13"/>
  <c r="U16" i="13" s="1"/>
  <c r="V16" i="13" s="1"/>
  <c r="AT17" i="13"/>
  <c r="AQ25" i="22" l="1"/>
  <c r="AY25" i="22"/>
  <c r="BR25" i="22"/>
  <c r="AL25" i="22"/>
  <c r="AG25" i="22"/>
  <c r="BE2" i="22" s="1"/>
  <c r="CH25" i="22"/>
  <c r="AO25" i="22"/>
  <c r="CB25" i="22"/>
  <c r="BC25" i="22"/>
  <c r="AP25" i="22"/>
  <c r="AI25" i="22"/>
  <c r="BT25" i="22"/>
  <c r="BN25" i="22"/>
  <c r="CD25" i="22"/>
  <c r="AV25" i="22"/>
  <c r="AT25" i="22"/>
  <c r="CG25" i="22"/>
  <c r="AN25" i="22"/>
  <c r="BQ25" i="22"/>
  <c r="BB25" i="22"/>
  <c r="BY25" i="22"/>
  <c r="BV25" i="22"/>
  <c r="BW25" i="22"/>
  <c r="BS25" i="22"/>
  <c r="BG25" i="22"/>
  <c r="AJ25" i="22"/>
  <c r="BF25" i="22"/>
  <c r="CC25" i="22"/>
  <c r="AR25" i="22"/>
  <c r="BU25" i="22"/>
  <c r="AH25" i="22"/>
  <c r="AF25" i="22" s="1"/>
  <c r="BE4" i="22" s="1"/>
  <c r="AX25" i="22"/>
  <c r="A26" i="22"/>
  <c r="BK26" i="22" s="1"/>
  <c r="BX25" i="22"/>
  <c r="BH25" i="22"/>
  <c r="CA25" i="22"/>
  <c r="CE25" i="22"/>
  <c r="BA25" i="22"/>
  <c r="AS25" i="22"/>
  <c r="BZ25" i="22"/>
  <c r="BK25" i="22"/>
  <c r="BO25" i="22"/>
  <c r="BM25" i="22"/>
  <c r="BP25" i="22"/>
  <c r="BI25" i="22"/>
  <c r="BJ25" i="22"/>
  <c r="BL25" i="22"/>
  <c r="AW25" i="22"/>
  <c r="CI25" i="22"/>
  <c r="AK25" i="22"/>
  <c r="AM25" i="22"/>
  <c r="AZ25" i="22"/>
  <c r="BE25" i="22"/>
  <c r="CF25" i="22"/>
  <c r="BD25" i="22"/>
  <c r="F26" i="15"/>
  <c r="J26" i="14"/>
  <c r="K26" i="14" s="1"/>
  <c r="L26" i="14" s="1"/>
  <c r="J33" i="15"/>
  <c r="K33" i="15" s="1"/>
  <c r="J34" i="15" s="1"/>
  <c r="P30" i="15"/>
  <c r="O31" i="15" s="1"/>
  <c r="AI31" i="13"/>
  <c r="AB17" i="13"/>
  <c r="U17" i="13"/>
  <c r="AD17" i="13" s="1"/>
  <c r="P31" i="14"/>
  <c r="O32" i="14" s="1"/>
  <c r="L18" i="13"/>
  <c r="O18" i="13" s="1"/>
  <c r="N18" i="13"/>
  <c r="Q18" i="13" s="1"/>
  <c r="M18" i="13"/>
  <c r="P18" i="13" s="1"/>
  <c r="G20" i="13"/>
  <c r="H20" i="13" s="1"/>
  <c r="J19" i="13"/>
  <c r="K19" i="13" s="1"/>
  <c r="AR26" i="22" l="1"/>
  <c r="AO26" i="22"/>
  <c r="BR26" i="22"/>
  <c r="BZ26" i="22"/>
  <c r="AU26" i="22"/>
  <c r="AV26" i="22"/>
  <c r="BN26" i="22"/>
  <c r="CG26" i="22"/>
  <c r="AQ26" i="22"/>
  <c r="BL26" i="22"/>
  <c r="AJ26" i="22"/>
  <c r="BQ26" i="22"/>
  <c r="AL26" i="22"/>
  <c r="CD26" i="22"/>
  <c r="BT26" i="22"/>
  <c r="CA26" i="22"/>
  <c r="BF26" i="22"/>
  <c r="BX26" i="22"/>
  <c r="AP26" i="22"/>
  <c r="BU26" i="22"/>
  <c r="AS26" i="22"/>
  <c r="AX26" i="22"/>
  <c r="AZ26" i="22"/>
  <c r="BW26" i="22"/>
  <c r="AM26" i="22"/>
  <c r="BY26" i="22"/>
  <c r="BJ26" i="22"/>
  <c r="BG26" i="22"/>
  <c r="BO26" i="22"/>
  <c r="CF26" i="22"/>
  <c r="AN26" i="22"/>
  <c r="BI26" i="22"/>
  <c r="BE26" i="22"/>
  <c r="AG26" i="22"/>
  <c r="BF2" i="22" s="1"/>
  <c r="BB26" i="22"/>
  <c r="BA26" i="22"/>
  <c r="BV26" i="22"/>
  <c r="AK26" i="22"/>
  <c r="BM26" i="22"/>
  <c r="AT26" i="22"/>
  <c r="BP26" i="22"/>
  <c r="CC26" i="22"/>
  <c r="AH26" i="22"/>
  <c r="AF26" i="22" s="1"/>
  <c r="BF4" i="22" s="1"/>
  <c r="BH26" i="22"/>
  <c r="CB26" i="22"/>
  <c r="A27" i="22"/>
  <c r="BA27" i="22" s="1"/>
  <c r="BC26" i="22"/>
  <c r="CI26" i="22"/>
  <c r="AW26" i="22"/>
  <c r="BD26" i="22"/>
  <c r="BS26" i="22"/>
  <c r="CE26" i="22"/>
  <c r="AI26" i="22"/>
  <c r="AY26" i="22"/>
  <c r="CH26" i="22"/>
  <c r="G26" i="15"/>
  <c r="L26" i="15" s="1"/>
  <c r="J27" i="14"/>
  <c r="K27" i="14" s="1"/>
  <c r="L27" i="14" s="1"/>
  <c r="AQ19" i="13"/>
  <c r="P31" i="15"/>
  <c r="O32" i="15" s="1"/>
  <c r="AS18" i="13"/>
  <c r="P32" i="14"/>
  <c r="O33" i="14" s="1"/>
  <c r="K34" i="15"/>
  <c r="J35" i="15" s="1"/>
  <c r="I20" i="13"/>
  <c r="AT18" i="13"/>
  <c r="AI30" i="13"/>
  <c r="V17" i="13"/>
  <c r="AE17" i="13" s="1"/>
  <c r="AF17" i="13" s="1"/>
  <c r="S18" i="13"/>
  <c r="T18" i="13" s="1"/>
  <c r="AR18" i="13"/>
  <c r="M19" i="13"/>
  <c r="P19" i="13" s="1"/>
  <c r="N19" i="13"/>
  <c r="Q19" i="13" s="1"/>
  <c r="L19" i="13"/>
  <c r="O19" i="13" s="1"/>
  <c r="AJ27" i="22" l="1"/>
  <c r="BM27" i="22"/>
  <c r="AH27" i="22"/>
  <c r="AF27" i="22" s="1"/>
  <c r="BG4" i="22" s="1"/>
  <c r="BN27" i="22"/>
  <c r="BJ27" i="22"/>
  <c r="AZ27" i="22"/>
  <c r="AL27" i="22"/>
  <c r="AU27" i="22"/>
  <c r="BX27" i="22"/>
  <c r="AG27" i="22"/>
  <c r="BG2" i="22" s="1"/>
  <c r="BZ27" i="22"/>
  <c r="BL27" i="22"/>
  <c r="BS27" i="22"/>
  <c r="CG27" i="22"/>
  <c r="BG27" i="22"/>
  <c r="AV27" i="22"/>
  <c r="BE27" i="22"/>
  <c r="BW27" i="22"/>
  <c r="BR27" i="22"/>
  <c r="BH27" i="22"/>
  <c r="CD27" i="22"/>
  <c r="BK27" i="22"/>
  <c r="BC27" i="22"/>
  <c r="BT27" i="22"/>
  <c r="BO27" i="22"/>
  <c r="BY27" i="22"/>
  <c r="CA27" i="22"/>
  <c r="AS27" i="22"/>
  <c r="CC27" i="22"/>
  <c r="AO27" i="22"/>
  <c r="BF27" i="22"/>
  <c r="AR27" i="22"/>
  <c r="CB27" i="22"/>
  <c r="AN27" i="22"/>
  <c r="A28" i="22"/>
  <c r="BH28" i="22" s="1"/>
  <c r="BP27" i="22"/>
  <c r="AK27" i="22"/>
  <c r="BI27" i="22"/>
  <c r="BQ27" i="22"/>
  <c r="AM27" i="22"/>
  <c r="BV27" i="22"/>
  <c r="BB27" i="22"/>
  <c r="AI27" i="22"/>
  <c r="AX27" i="22"/>
  <c r="AT27" i="22"/>
  <c r="CF27" i="22"/>
  <c r="AP27" i="22"/>
  <c r="AW27" i="22"/>
  <c r="CE27" i="22"/>
  <c r="BU27" i="22"/>
  <c r="AQ27" i="22"/>
  <c r="BD27" i="22"/>
  <c r="AY27" i="22"/>
  <c r="F27" i="15"/>
  <c r="G27" i="15" s="1"/>
  <c r="L27" i="15" s="1"/>
  <c r="J28" i="14"/>
  <c r="K28" i="14" s="1"/>
  <c r="L28" i="14" s="1"/>
  <c r="K35" i="15"/>
  <c r="J36" i="15" s="1"/>
  <c r="AC18" i="13"/>
  <c r="U18" i="13"/>
  <c r="AD18" i="13" s="1"/>
  <c r="P33" i="14"/>
  <c r="O34" i="14" s="1"/>
  <c r="AM17" i="13"/>
  <c r="AI29" i="13"/>
  <c r="S19" i="13"/>
  <c r="AT19" i="13"/>
  <c r="G21" i="13"/>
  <c r="H21" i="13" s="1"/>
  <c r="I21" i="13" s="1"/>
  <c r="J20" i="13"/>
  <c r="K20" i="13" s="1"/>
  <c r="AB18" i="13"/>
  <c r="P32" i="15"/>
  <c r="O33" i="15" s="1"/>
  <c r="BF28" i="22" l="1"/>
  <c r="CB28" i="22"/>
  <c r="AJ28" i="22"/>
  <c r="BV28" i="22"/>
  <c r="BX28" i="22"/>
  <c r="BW28" i="22"/>
  <c r="BY28" i="22"/>
  <c r="AH28" i="22"/>
  <c r="AF28" i="22" s="1"/>
  <c r="BH4" i="22" s="1"/>
  <c r="AQ28" i="22"/>
  <c r="AT28" i="22"/>
  <c r="AY28" i="22"/>
  <c r="AX28" i="22"/>
  <c r="BU28" i="22"/>
  <c r="BB28" i="22"/>
  <c r="AU28" i="22"/>
  <c r="BS28" i="22"/>
  <c r="BP28" i="22"/>
  <c r="BL28" i="22"/>
  <c r="BM28" i="22"/>
  <c r="AK28" i="22"/>
  <c r="AS28" i="22"/>
  <c r="CD28" i="22"/>
  <c r="BK28" i="22"/>
  <c r="BR28" i="22"/>
  <c r="AL28" i="22"/>
  <c r="CE28" i="22"/>
  <c r="BN28" i="22"/>
  <c r="AR28" i="22"/>
  <c r="AG28" i="22"/>
  <c r="BH2" i="22" s="1"/>
  <c r="AN28" i="22"/>
  <c r="BJ28" i="22"/>
  <c r="BD28" i="22"/>
  <c r="CC28" i="22"/>
  <c r="CG28" i="22"/>
  <c r="BT28" i="22"/>
  <c r="BZ28" i="22"/>
  <c r="AZ28" i="22"/>
  <c r="BA28" i="22"/>
  <c r="BG28" i="22"/>
  <c r="BE28" i="22"/>
  <c r="CF28" i="22"/>
  <c r="AW28" i="22"/>
  <c r="BC28" i="22"/>
  <c r="BO28" i="22"/>
  <c r="BI28" i="22"/>
  <c r="AO28" i="22"/>
  <c r="AM28" i="22"/>
  <c r="A29" i="22"/>
  <c r="BG29" i="22" s="1"/>
  <c r="AP28" i="22"/>
  <c r="AV28" i="22"/>
  <c r="CA28" i="22"/>
  <c r="AI28" i="22"/>
  <c r="BQ28" i="22"/>
  <c r="F28" i="15"/>
  <c r="G28" i="15" s="1"/>
  <c r="L28" i="15" s="1"/>
  <c r="J29" i="14"/>
  <c r="K29" i="14" s="1"/>
  <c r="L29" i="14" s="1"/>
  <c r="AQ20" i="13"/>
  <c r="V18" i="13"/>
  <c r="AE18" i="13" s="1"/>
  <c r="AF18" i="13" s="1"/>
  <c r="P34" i="14"/>
  <c r="O35" i="14" s="1"/>
  <c r="AI28" i="13"/>
  <c r="AB19" i="13"/>
  <c r="T19" i="13"/>
  <c r="AC19" i="13" s="1"/>
  <c r="P33" i="15"/>
  <c r="O34" i="15" s="1"/>
  <c r="N20" i="13"/>
  <c r="Q20" i="13" s="1"/>
  <c r="L20" i="13"/>
  <c r="O20" i="13" s="1"/>
  <c r="M20" i="13"/>
  <c r="P20" i="13" s="1"/>
  <c r="M15" i="15"/>
  <c r="M15" i="16"/>
  <c r="M16" i="14"/>
  <c r="M15" i="22"/>
  <c r="K36" i="15"/>
  <c r="J37" i="15" s="1"/>
  <c r="AR19" i="13"/>
  <c r="G22" i="13"/>
  <c r="H22" i="13" s="1"/>
  <c r="J21" i="13"/>
  <c r="K21" i="13" s="1"/>
  <c r="AZ29" i="22" l="1"/>
  <c r="AH29" i="22"/>
  <c r="AF29" i="22" s="1"/>
  <c r="BI4" i="22" s="1"/>
  <c r="AT29" i="22"/>
  <c r="BW29" i="22"/>
  <c r="BP29" i="22"/>
  <c r="AG29" i="22"/>
  <c r="BI2" i="22" s="1"/>
  <c r="CA29" i="22"/>
  <c r="AY29" i="22"/>
  <c r="CB29" i="22"/>
  <c r="BT29" i="22"/>
  <c r="AW29" i="22"/>
  <c r="BD29" i="22"/>
  <c r="AX29" i="22"/>
  <c r="BA29" i="22"/>
  <c r="BX29" i="22"/>
  <c r="BU29" i="22"/>
  <c r="CD29" i="22"/>
  <c r="BH29" i="22"/>
  <c r="AK29" i="22"/>
  <c r="AM29" i="22"/>
  <c r="AQ29" i="22"/>
  <c r="BB29" i="22"/>
  <c r="AU29" i="22"/>
  <c r="BQ29" i="22"/>
  <c r="AO29" i="22"/>
  <c r="BJ29" i="22"/>
  <c r="AR29" i="22"/>
  <c r="AP29" i="22"/>
  <c r="BL29" i="22"/>
  <c r="A30" i="22"/>
  <c r="AX30" i="22" s="1"/>
  <c r="BM29" i="22"/>
  <c r="BR29" i="22"/>
  <c r="BS29" i="22"/>
  <c r="BV29" i="22"/>
  <c r="BK29" i="22"/>
  <c r="BF29" i="22"/>
  <c r="BZ29" i="22"/>
  <c r="CE29" i="22"/>
  <c r="CC29" i="22"/>
  <c r="BY29" i="22"/>
  <c r="AI29" i="22"/>
  <c r="AL29" i="22"/>
  <c r="BN29" i="22"/>
  <c r="AN29" i="22"/>
  <c r="BE29" i="22"/>
  <c r="AS29" i="22"/>
  <c r="CF29" i="22"/>
  <c r="CG29" i="22"/>
  <c r="AV29" i="22"/>
  <c r="BO29" i="22"/>
  <c r="BC29" i="22"/>
  <c r="BI29" i="22"/>
  <c r="AJ29" i="22"/>
  <c r="F29" i="15"/>
  <c r="G29" i="15" s="1"/>
  <c r="L29" i="15" s="1"/>
  <c r="AQ21" i="13"/>
  <c r="J30" i="14"/>
  <c r="K30" i="14" s="1"/>
  <c r="L30" i="14" s="1"/>
  <c r="K37" i="15"/>
  <c r="J38" i="15" s="1"/>
  <c r="R16" i="14"/>
  <c r="AI27" i="13"/>
  <c r="U19" i="13"/>
  <c r="AD19" i="13" s="1"/>
  <c r="AM18" i="13"/>
  <c r="S20" i="13"/>
  <c r="AR20" i="13" s="1"/>
  <c r="P34" i="15"/>
  <c r="O35" i="15" s="1"/>
  <c r="P35" i="14"/>
  <c r="O36" i="14" s="1"/>
  <c r="M21" i="13"/>
  <c r="P21" i="13" s="1"/>
  <c r="L21" i="13"/>
  <c r="O21" i="13" s="1"/>
  <c r="N21" i="13"/>
  <c r="Q21" i="13" s="1"/>
  <c r="R15" i="15"/>
  <c r="I22" i="13"/>
  <c r="AS19" i="13"/>
  <c r="AN30" i="22" l="1"/>
  <c r="BW30" i="22"/>
  <c r="AM30" i="22"/>
  <c r="AQ30" i="22"/>
  <c r="BK30" i="22"/>
  <c r="AJ30" i="22"/>
  <c r="BO30" i="22"/>
  <c r="CC30" i="22"/>
  <c r="BT30" i="22"/>
  <c r="BA30" i="22"/>
  <c r="BD30" i="22"/>
  <c r="BX30" i="22"/>
  <c r="AG30" i="22"/>
  <c r="BJ2" i="22" s="1"/>
  <c r="AK30" i="22"/>
  <c r="BU30" i="22"/>
  <c r="CB30" i="22"/>
  <c r="BB30" i="22"/>
  <c r="BM30" i="22"/>
  <c r="AW30" i="22"/>
  <c r="BQ30" i="22"/>
  <c r="AP30" i="22"/>
  <c r="BR30" i="22"/>
  <c r="CG30" i="22"/>
  <c r="AZ30" i="22"/>
  <c r="CA30" i="22"/>
  <c r="AS30" i="22"/>
  <c r="AO30" i="22"/>
  <c r="AL30" i="22"/>
  <c r="AY30" i="22"/>
  <c r="A31" i="22"/>
  <c r="BQ31" i="22" s="1"/>
  <c r="BG30" i="22"/>
  <c r="AR30" i="22"/>
  <c r="CD30" i="22"/>
  <c r="BV30" i="22"/>
  <c r="BP30" i="22"/>
  <c r="BF30" i="22"/>
  <c r="BJ30" i="22"/>
  <c r="BS30" i="22"/>
  <c r="BC30" i="22"/>
  <c r="BI30" i="22"/>
  <c r="AU30" i="22"/>
  <c r="AT30" i="22"/>
  <c r="BL30" i="22"/>
  <c r="BE30" i="22"/>
  <c r="BY30" i="22"/>
  <c r="BZ30" i="22"/>
  <c r="BH30" i="22"/>
  <c r="AV30" i="22"/>
  <c r="BN30" i="22"/>
  <c r="CF30" i="22"/>
  <c r="AI30" i="22"/>
  <c r="CE30" i="22"/>
  <c r="AH30" i="22"/>
  <c r="AF30" i="22" s="1"/>
  <c r="BJ4" i="22" s="1"/>
  <c r="F30" i="15"/>
  <c r="G30" i="15" s="1"/>
  <c r="J31" i="14"/>
  <c r="V19" i="13"/>
  <c r="AE19" i="13" s="1"/>
  <c r="AF19" i="13" s="1"/>
  <c r="AM19" i="13" s="1"/>
  <c r="P35" i="15"/>
  <c r="O36" i="15" s="1"/>
  <c r="P36" i="14"/>
  <c r="O37" i="14" s="1"/>
  <c r="AB20" i="13"/>
  <c r="S21" i="13"/>
  <c r="T21" i="13" s="1"/>
  <c r="AC21" i="13" s="1"/>
  <c r="T20" i="13"/>
  <c r="AS20" i="13" s="1"/>
  <c r="AI26" i="13"/>
  <c r="M17" i="14"/>
  <c r="M16" i="16"/>
  <c r="M16" i="15"/>
  <c r="M16" i="22"/>
  <c r="K38" i="15"/>
  <c r="J39" i="15" s="1"/>
  <c r="G23" i="13"/>
  <c r="H23" i="13" s="1"/>
  <c r="I23" i="13" s="1"/>
  <c r="J22" i="13"/>
  <c r="K22" i="13" s="1"/>
  <c r="AW31" i="22" l="1"/>
  <c r="BE31" i="22"/>
  <c r="BG31" i="22"/>
  <c r="AK31" i="22"/>
  <c r="BB31" i="22"/>
  <c r="BJ31" i="22"/>
  <c r="BX31" i="22"/>
  <c r="BC31" i="22"/>
  <c r="AT31" i="22"/>
  <c r="AI31" i="22"/>
  <c r="AP31" i="22"/>
  <c r="CF31" i="22"/>
  <c r="AV31" i="22"/>
  <c r="CD31" i="22"/>
  <c r="BK31" i="22"/>
  <c r="AX31" i="22"/>
  <c r="AH31" i="22"/>
  <c r="AF31" i="22" s="1"/>
  <c r="BK4" i="22" s="1"/>
  <c r="BH31" i="22"/>
  <c r="BW31" i="22"/>
  <c r="AZ31" i="22"/>
  <c r="BO31" i="22"/>
  <c r="BS31" i="22"/>
  <c r="BF31" i="22"/>
  <c r="BY31" i="22"/>
  <c r="BD31" i="22"/>
  <c r="BT31" i="22"/>
  <c r="A32" i="22"/>
  <c r="BN32" i="22" s="1"/>
  <c r="AM31" i="22"/>
  <c r="CE31" i="22"/>
  <c r="BM31" i="22"/>
  <c r="AU31" i="22"/>
  <c r="BU31" i="22"/>
  <c r="AY31" i="22"/>
  <c r="CG31" i="22"/>
  <c r="BL31" i="22"/>
  <c r="BI31" i="22"/>
  <c r="BV31" i="22"/>
  <c r="AL31" i="22"/>
  <c r="BN31" i="22"/>
  <c r="AO31" i="22"/>
  <c r="AR31" i="22"/>
  <c r="BA31" i="22"/>
  <c r="BZ31" i="22"/>
  <c r="AS31" i="22"/>
  <c r="CB31" i="22"/>
  <c r="CA31" i="22"/>
  <c r="CC31" i="22"/>
  <c r="AG31" i="22"/>
  <c r="BK2" i="22" s="1"/>
  <c r="AQ31" i="22"/>
  <c r="BR31" i="22"/>
  <c r="AJ31" i="22"/>
  <c r="BP31" i="22"/>
  <c r="AN31" i="22"/>
  <c r="L30" i="15"/>
  <c r="F31" i="15"/>
  <c r="G31" i="15" s="1"/>
  <c r="AQ22" i="13"/>
  <c r="AR21" i="13"/>
  <c r="K31" i="14"/>
  <c r="L31" i="14" s="1"/>
  <c r="AS21" i="13"/>
  <c r="P36" i="15"/>
  <c r="O37" i="15" s="1"/>
  <c r="AC20" i="13"/>
  <c r="U20" i="13"/>
  <c r="AT20" i="13" s="1"/>
  <c r="M17" i="15"/>
  <c r="R17" i="15" s="1"/>
  <c r="M17" i="16"/>
  <c r="M17" i="22"/>
  <c r="M18" i="14"/>
  <c r="R18" i="14" s="1"/>
  <c r="P37" i="14"/>
  <c r="O38" i="14" s="1"/>
  <c r="AB21" i="13"/>
  <c r="R16" i="15"/>
  <c r="K39" i="15"/>
  <c r="J40" i="15" s="1"/>
  <c r="R17" i="14"/>
  <c r="L22" i="13"/>
  <c r="O22" i="13" s="1"/>
  <c r="N22" i="13"/>
  <c r="Q22" i="13" s="1"/>
  <c r="M22" i="13"/>
  <c r="P22" i="13" s="1"/>
  <c r="G24" i="13"/>
  <c r="H24" i="13" s="1"/>
  <c r="I24" i="13" s="1"/>
  <c r="J23" i="13"/>
  <c r="K23" i="13" s="1"/>
  <c r="AI25" i="13"/>
  <c r="U21" i="13"/>
  <c r="AD21" i="13" s="1"/>
  <c r="AV32" i="22" l="1"/>
  <c r="BE32" i="22"/>
  <c r="AK32" i="22"/>
  <c r="AL32" i="22"/>
  <c r="CA32" i="22"/>
  <c r="BA32" i="22"/>
  <c r="AH32" i="22"/>
  <c r="AF32" i="22" s="1"/>
  <c r="BL4" i="22" s="1"/>
  <c r="AO32" i="22"/>
  <c r="BQ32" i="22"/>
  <c r="CG32" i="22"/>
  <c r="CE32" i="22"/>
  <c r="BI32" i="22"/>
  <c r="AG32" i="22"/>
  <c r="BL2" i="22" s="1"/>
  <c r="BO32" i="22"/>
  <c r="A33" i="22"/>
  <c r="BM33" i="22" s="1"/>
  <c r="CB32" i="22"/>
  <c r="CF32" i="22"/>
  <c r="CC32" i="22"/>
  <c r="AZ32" i="22"/>
  <c r="BJ32" i="22"/>
  <c r="CD32" i="22"/>
  <c r="BL32" i="22"/>
  <c r="AJ32" i="22"/>
  <c r="BK32" i="22"/>
  <c r="BU32" i="22"/>
  <c r="BG32" i="22"/>
  <c r="AY32" i="22"/>
  <c r="BH32" i="22"/>
  <c r="AS32" i="22"/>
  <c r="AU32" i="22"/>
  <c r="BS32" i="22"/>
  <c r="AX32" i="22"/>
  <c r="AI32" i="22"/>
  <c r="AR32" i="22"/>
  <c r="AT32" i="22"/>
  <c r="BW32" i="22"/>
  <c r="BR32" i="22"/>
  <c r="AN32" i="22"/>
  <c r="AM32" i="22"/>
  <c r="AW32" i="22"/>
  <c r="BT32" i="22"/>
  <c r="BY32" i="22"/>
  <c r="AQ32" i="22"/>
  <c r="AP32" i="22"/>
  <c r="BM32" i="22"/>
  <c r="BP32" i="22"/>
  <c r="BF32" i="22"/>
  <c r="BX32" i="22"/>
  <c r="BV32" i="22"/>
  <c r="BB32" i="22"/>
  <c r="BD32" i="22"/>
  <c r="BZ32" i="22"/>
  <c r="BC32" i="22"/>
  <c r="AT21" i="13"/>
  <c r="AQ23" i="13"/>
  <c r="AQ24" i="13" s="1"/>
  <c r="L31" i="15"/>
  <c r="F32" i="15"/>
  <c r="G32" i="15" s="1"/>
  <c r="L32" i="15" s="1"/>
  <c r="J32" i="14"/>
  <c r="P38" i="14"/>
  <c r="O39" i="14" s="1"/>
  <c r="G25" i="13"/>
  <c r="H25" i="13" s="1"/>
  <c r="I25" i="13" s="1"/>
  <c r="J24" i="13"/>
  <c r="K24" i="13" s="1"/>
  <c r="P37" i="15"/>
  <c r="O38" i="15" s="1"/>
  <c r="S22" i="13"/>
  <c r="AR22" i="13" s="1"/>
  <c r="K40" i="15"/>
  <c r="J41" i="15" s="1"/>
  <c r="L23" i="13"/>
  <c r="O23" i="13" s="1"/>
  <c r="M23" i="13"/>
  <c r="P23" i="13" s="1"/>
  <c r="N23" i="13"/>
  <c r="Q23" i="13" s="1"/>
  <c r="V21" i="13"/>
  <c r="AE21" i="13" s="1"/>
  <c r="AF21" i="13" s="1"/>
  <c r="AD20" i="13"/>
  <c r="V20" i="13"/>
  <c r="AE20" i="13" s="1"/>
  <c r="AI24" i="13"/>
  <c r="BS33" i="22" l="1"/>
  <c r="AK33" i="22"/>
  <c r="BK33" i="22"/>
  <c r="CD33" i="22"/>
  <c r="BG33" i="22"/>
  <c r="BO33" i="22"/>
  <c r="BV33" i="22"/>
  <c r="AU33" i="22"/>
  <c r="BJ33" i="22"/>
  <c r="AS33" i="22"/>
  <c r="BC33" i="22"/>
  <c r="BY33" i="22"/>
  <c r="BP33" i="22"/>
  <c r="AV33" i="22"/>
  <c r="BU33" i="22"/>
  <c r="BB33" i="22"/>
  <c r="AJ33" i="22"/>
  <c r="AR33" i="22"/>
  <c r="BA33" i="22"/>
  <c r="AO33" i="22"/>
  <c r="AH33" i="22"/>
  <c r="R33" i="22" s="1"/>
  <c r="BZ33" i="22"/>
  <c r="BL33" i="22"/>
  <c r="CG33" i="22"/>
  <c r="BX33" i="22"/>
  <c r="BE33" i="22"/>
  <c r="CF33" i="22"/>
  <c r="AW33" i="22"/>
  <c r="A34" i="22"/>
  <c r="BG34" i="22" s="1"/>
  <c r="BI33" i="22"/>
  <c r="AQ33" i="22"/>
  <c r="CA33" i="22"/>
  <c r="AZ33" i="22"/>
  <c r="AP33" i="22"/>
  <c r="CE33" i="22"/>
  <c r="BQ33" i="22"/>
  <c r="AY33" i="22"/>
  <c r="AN33" i="22"/>
  <c r="AT33" i="22"/>
  <c r="BD33" i="22"/>
  <c r="CC33" i="22"/>
  <c r="BR33" i="22"/>
  <c r="AL33" i="22"/>
  <c r="AG33" i="22"/>
  <c r="BM2" i="22" s="1"/>
  <c r="CB33" i="22"/>
  <c r="AX33" i="22"/>
  <c r="AM33" i="22"/>
  <c r="AI33" i="22"/>
  <c r="BH33" i="22"/>
  <c r="BT33" i="22"/>
  <c r="BW33" i="22"/>
  <c r="BF33" i="22"/>
  <c r="BN33" i="22"/>
  <c r="F33" i="15"/>
  <c r="K32" i="14"/>
  <c r="L32" i="14" s="1"/>
  <c r="AF20" i="13"/>
  <c r="AM20" i="13" s="1"/>
  <c r="AM21" i="13"/>
  <c r="P39" i="14"/>
  <c r="O40" i="14" s="1"/>
  <c r="L24" i="13"/>
  <c r="O24" i="13" s="1"/>
  <c r="M24" i="13"/>
  <c r="P24" i="13" s="1"/>
  <c r="N24" i="13"/>
  <c r="Q24" i="13" s="1"/>
  <c r="AB22" i="13"/>
  <c r="P38" i="15"/>
  <c r="O39" i="15" s="1"/>
  <c r="G26" i="13"/>
  <c r="H26" i="13" s="1"/>
  <c r="I26" i="13" s="1"/>
  <c r="AQ25" i="13"/>
  <c r="J25" i="13"/>
  <c r="K25" i="13" s="1"/>
  <c r="S23" i="13"/>
  <c r="AR23" i="13" s="1"/>
  <c r="AI23" i="13"/>
  <c r="K41" i="15"/>
  <c r="J42" i="15" s="1"/>
  <c r="T22" i="13"/>
  <c r="AC22" i="13" s="1"/>
  <c r="BT34" i="22" l="1"/>
  <c r="BI34" i="22"/>
  <c r="BO34" i="22"/>
  <c r="AI34" i="22"/>
  <c r="BK34" i="22"/>
  <c r="CC34" i="22"/>
  <c r="BJ34" i="22"/>
  <c r="BP34" i="22"/>
  <c r="BC34" i="22"/>
  <c r="CB34" i="22"/>
  <c r="AS34" i="22"/>
  <c r="BE34" i="22"/>
  <c r="BV34" i="22"/>
  <c r="AX34" i="22"/>
  <c r="BS34" i="22"/>
  <c r="A35" i="22"/>
  <c r="A36" i="22" s="1"/>
  <c r="BB34" i="22"/>
  <c r="AR34" i="22"/>
  <c r="BQ34" i="22"/>
  <c r="CD34" i="22"/>
  <c r="BN34" i="22"/>
  <c r="CF34" i="22"/>
  <c r="BX34" i="22"/>
  <c r="BA34" i="22"/>
  <c r="AO34" i="22"/>
  <c r="AP34" i="22"/>
  <c r="AV34" i="22"/>
  <c r="AY34" i="22"/>
  <c r="BY34" i="22"/>
  <c r="CG34" i="22"/>
  <c r="BL34" i="22"/>
  <c r="AH34" i="22"/>
  <c r="R34" i="22" s="1"/>
  <c r="BZ34" i="22"/>
  <c r="AQ34" i="22"/>
  <c r="BH34" i="22"/>
  <c r="AL34" i="22"/>
  <c r="BU34" i="22"/>
  <c r="BR34" i="22"/>
  <c r="AK34" i="22"/>
  <c r="CA34" i="22"/>
  <c r="AZ34" i="22"/>
  <c r="AJ34" i="22"/>
  <c r="BD34" i="22"/>
  <c r="AT34" i="22"/>
  <c r="BF34" i="22"/>
  <c r="BW34" i="22"/>
  <c r="AN34" i="22"/>
  <c r="AW34" i="22"/>
  <c r="AU34" i="22"/>
  <c r="AG34" i="22"/>
  <c r="BN2" i="22" s="1"/>
  <c r="AM34" i="22"/>
  <c r="BM34" i="22"/>
  <c r="CE34" i="22"/>
  <c r="AF33" i="22"/>
  <c r="BM4" i="22" s="1"/>
  <c r="G33" i="15"/>
  <c r="L33" i="15" s="1"/>
  <c r="J33" i="14"/>
  <c r="K33" i="14" s="1"/>
  <c r="AS22" i="13"/>
  <c r="G27" i="13"/>
  <c r="H27" i="13" s="1"/>
  <c r="I27" i="13" s="1"/>
  <c r="AQ26" i="13"/>
  <c r="J26" i="13"/>
  <c r="K26" i="13" s="1"/>
  <c r="K42" i="15"/>
  <c r="J43" i="15" s="1"/>
  <c r="P40" i="14"/>
  <c r="O41" i="14" s="1"/>
  <c r="AI22" i="13"/>
  <c r="M18" i="15"/>
  <c r="M18" i="16"/>
  <c r="M19" i="14"/>
  <c r="R19" i="14" s="1"/>
  <c r="M18" i="22"/>
  <c r="S24" i="13"/>
  <c r="AR24" i="13" s="1"/>
  <c r="M25" i="13"/>
  <c r="P25" i="13" s="1"/>
  <c r="N25" i="13"/>
  <c r="Q25" i="13" s="1"/>
  <c r="L25" i="13"/>
  <c r="O25" i="13" s="1"/>
  <c r="AB23" i="13"/>
  <c r="T23" i="13"/>
  <c r="AC23" i="13" s="1"/>
  <c r="M19" i="15"/>
  <c r="R19" i="15" s="1"/>
  <c r="M20" i="14"/>
  <c r="R20" i="14" s="1"/>
  <c r="M19" i="16"/>
  <c r="M19" i="22"/>
  <c r="P39" i="15"/>
  <c r="O40" i="15" s="1"/>
  <c r="U22" i="13"/>
  <c r="AD22" i="13" s="1"/>
  <c r="AS35" i="22" l="1"/>
  <c r="BA35" i="22"/>
  <c r="AN35" i="22"/>
  <c r="AK35" i="22"/>
  <c r="AG35" i="22"/>
  <c r="BO2" i="22" s="1"/>
  <c r="BX35" i="22"/>
  <c r="BH35" i="22"/>
  <c r="AX35" i="22"/>
  <c r="AT35" i="22"/>
  <c r="AP35" i="22"/>
  <c r="AL35" i="22"/>
  <c r="AQ35" i="22"/>
  <c r="CG35" i="22"/>
  <c r="AY35" i="22"/>
  <c r="CD35" i="22"/>
  <c r="BJ35" i="22"/>
  <c r="AJ35" i="22"/>
  <c r="CB35" i="22"/>
  <c r="CA35" i="22"/>
  <c r="AZ35" i="22"/>
  <c r="BQ35" i="22"/>
  <c r="AW35" i="22"/>
  <c r="BY35" i="22"/>
  <c r="BN35" i="22"/>
  <c r="BM35" i="22"/>
  <c r="BB35" i="22"/>
  <c r="BE35" i="22"/>
  <c r="BO35" i="22"/>
  <c r="AM35" i="22"/>
  <c r="CF35" i="22"/>
  <c r="BS35" i="22"/>
  <c r="BW35" i="22"/>
  <c r="BZ35" i="22"/>
  <c r="CC35" i="22"/>
  <c r="BD35" i="22"/>
  <c r="BU35" i="22"/>
  <c r="AF34" i="22"/>
  <c r="BN4" i="22" s="1"/>
  <c r="BL35" i="22"/>
  <c r="BF35" i="22"/>
  <c r="BP35" i="22"/>
  <c r="BT35" i="22"/>
  <c r="BG35" i="22"/>
  <c r="BI35" i="22"/>
  <c r="AH35" i="22"/>
  <c r="AF35" i="22" s="1"/>
  <c r="BO4" i="22" s="1"/>
  <c r="CE35" i="22"/>
  <c r="AI35" i="22"/>
  <c r="AV35" i="22"/>
  <c r="AR35" i="22"/>
  <c r="BR35" i="22"/>
  <c r="AO35" i="22"/>
  <c r="BK35" i="22"/>
  <c r="BC35" i="22"/>
  <c r="AU35" i="22"/>
  <c r="BV35" i="22"/>
  <c r="F34" i="15"/>
  <c r="G34" i="15" s="1"/>
  <c r="L34" i="15" s="1"/>
  <c r="AS23" i="13"/>
  <c r="L33" i="14"/>
  <c r="J34" i="14"/>
  <c r="K34" i="14" s="1"/>
  <c r="L34" i="14" s="1"/>
  <c r="BH36" i="22"/>
  <c r="A37" i="22"/>
  <c r="AU36" i="22"/>
  <c r="BK36" i="22"/>
  <c r="AP36" i="22"/>
  <c r="BW36" i="22"/>
  <c r="AN36" i="22"/>
  <c r="AY36" i="22"/>
  <c r="BD36" i="22"/>
  <c r="BO36" i="22"/>
  <c r="BP36" i="22"/>
  <c r="AM36" i="22"/>
  <c r="AJ36" i="22"/>
  <c r="AX36" i="22"/>
  <c r="AH36" i="22"/>
  <c r="AF36" i="22" s="1"/>
  <c r="BP4" i="22" s="1"/>
  <c r="BA36" i="22"/>
  <c r="BJ36" i="22"/>
  <c r="AS36" i="22"/>
  <c r="AQ36" i="22"/>
  <c r="AR36" i="22"/>
  <c r="BL36" i="22"/>
  <c r="AV36" i="22"/>
  <c r="BG36" i="22"/>
  <c r="CG36" i="22"/>
  <c r="AL36" i="22"/>
  <c r="BX36" i="22"/>
  <c r="BR36" i="22"/>
  <c r="AW36" i="22"/>
  <c r="BN36" i="22"/>
  <c r="BS36" i="22"/>
  <c r="CA36" i="22"/>
  <c r="AK36" i="22"/>
  <c r="BV36" i="22"/>
  <c r="BE36" i="22"/>
  <c r="BI36" i="22"/>
  <c r="CF36" i="22"/>
  <c r="BC36" i="22"/>
  <c r="CD36" i="22"/>
  <c r="AO36" i="22"/>
  <c r="BU36" i="22"/>
  <c r="BM36" i="22"/>
  <c r="AT36" i="22"/>
  <c r="BZ36" i="22"/>
  <c r="BY36" i="22"/>
  <c r="AZ36" i="22"/>
  <c r="BQ36" i="22"/>
  <c r="CB36" i="22"/>
  <c r="BT36" i="22"/>
  <c r="BF36" i="22"/>
  <c r="AG36" i="22"/>
  <c r="BB36" i="22"/>
  <c r="AI36" i="22"/>
  <c r="CE36" i="22"/>
  <c r="CC36" i="22"/>
  <c r="V22" i="13"/>
  <c r="AE22" i="13" s="1"/>
  <c r="AF22" i="13" s="1"/>
  <c r="AM22" i="13" s="1"/>
  <c r="AT22" i="13"/>
  <c r="P40" i="15"/>
  <c r="O41" i="15" s="1"/>
  <c r="P41" i="14"/>
  <c r="O42" i="14" s="1"/>
  <c r="G28" i="13"/>
  <c r="H28" i="13" s="1"/>
  <c r="I28" i="13" s="1"/>
  <c r="AQ27" i="13"/>
  <c r="J27" i="13"/>
  <c r="K27" i="13" s="1"/>
  <c r="K43" i="15"/>
  <c r="J44" i="15" s="1"/>
  <c r="U23" i="13"/>
  <c r="AD23" i="13" s="1"/>
  <c r="AI21" i="13"/>
  <c r="R18" i="15"/>
  <c r="N26" i="13"/>
  <c r="Q26" i="13" s="1"/>
  <c r="L26" i="13"/>
  <c r="O26" i="13" s="1"/>
  <c r="M26" i="13"/>
  <c r="P26" i="13" s="1"/>
  <c r="AB24" i="13"/>
  <c r="S25" i="13"/>
  <c r="T25" i="13" s="1"/>
  <c r="AC25" i="13" s="1"/>
  <c r="AR25" i="13"/>
  <c r="T24" i="13"/>
  <c r="AC24" i="13" s="1"/>
  <c r="R35" i="22" l="1"/>
  <c r="AT23" i="13"/>
  <c r="AS24" i="13"/>
  <c r="AS25" i="13" s="1"/>
  <c r="F35" i="15"/>
  <c r="G35" i="15" s="1"/>
  <c r="L35" i="15" s="1"/>
  <c r="J35" i="14"/>
  <c r="V23" i="13"/>
  <c r="AE23" i="13" s="1"/>
  <c r="AF23" i="13" s="1"/>
  <c r="AM23" i="13" s="1"/>
  <c r="BP2" i="22"/>
  <c r="R36" i="22"/>
  <c r="AN37" i="22"/>
  <c r="BR37" i="22"/>
  <c r="BF37" i="22"/>
  <c r="BV37" i="22"/>
  <c r="BC37" i="22"/>
  <c r="CA37" i="22"/>
  <c r="BB37" i="22"/>
  <c r="BI37" i="22"/>
  <c r="BL37" i="22"/>
  <c r="BQ37" i="22"/>
  <c r="CE37" i="22"/>
  <c r="BA37" i="22"/>
  <c r="AO37" i="22"/>
  <c r="BN37" i="22"/>
  <c r="AM37" i="22"/>
  <c r="AJ37" i="22"/>
  <c r="AG37" i="22"/>
  <c r="AK37" i="22"/>
  <c r="AH37" i="22"/>
  <c r="AF37" i="22" s="1"/>
  <c r="BQ4" i="22" s="1"/>
  <c r="BY37" i="22"/>
  <c r="AI37" i="22"/>
  <c r="BZ37" i="22"/>
  <c r="BW37" i="22"/>
  <c r="AV37" i="22"/>
  <c r="BP37" i="22"/>
  <c r="CG37" i="22"/>
  <c r="AR37" i="22"/>
  <c r="BK37" i="22"/>
  <c r="AX37" i="22"/>
  <c r="BX37" i="22"/>
  <c r="BO37" i="22"/>
  <c r="AS37" i="22"/>
  <c r="BM37" i="22"/>
  <c r="AU37" i="22"/>
  <c r="AQ37" i="22"/>
  <c r="BJ37" i="22"/>
  <c r="CD37" i="22"/>
  <c r="BE37" i="22"/>
  <c r="BU37" i="22"/>
  <c r="CF37" i="22"/>
  <c r="BD37" i="22"/>
  <c r="BS37" i="22"/>
  <c r="AW37" i="22"/>
  <c r="AT37" i="22"/>
  <c r="AY37" i="22"/>
  <c r="BT37" i="22"/>
  <c r="AL37" i="22"/>
  <c r="A38" i="22"/>
  <c r="AP37" i="22"/>
  <c r="AZ37" i="22"/>
  <c r="CB37" i="22"/>
  <c r="CC37" i="22"/>
  <c r="BH37" i="22"/>
  <c r="BG37" i="22"/>
  <c r="AJ22" i="13"/>
  <c r="AK22" i="13" s="1"/>
  <c r="P42" i="14"/>
  <c r="O43" i="14" s="1"/>
  <c r="K44" i="15"/>
  <c r="J45" i="15" s="1"/>
  <c r="AJ21" i="13"/>
  <c r="AK21" i="13" s="1"/>
  <c r="AI20" i="13"/>
  <c r="L27" i="13"/>
  <c r="O27" i="13" s="1"/>
  <c r="N27" i="13"/>
  <c r="Q27" i="13" s="1"/>
  <c r="M27" i="13"/>
  <c r="P27" i="13" s="1"/>
  <c r="U24" i="13"/>
  <c r="AD24" i="13" s="1"/>
  <c r="M20" i="15"/>
  <c r="R20" i="15" s="1"/>
  <c r="M20" i="16"/>
  <c r="M21" i="14"/>
  <c r="R21" i="14" s="1"/>
  <c r="M20" i="22"/>
  <c r="AB25" i="13"/>
  <c r="U25" i="13"/>
  <c r="AD25" i="13" s="1"/>
  <c r="P41" i="15"/>
  <c r="O42" i="15" s="1"/>
  <c r="G29" i="13"/>
  <c r="H29" i="13" s="1"/>
  <c r="I29" i="13" s="1"/>
  <c r="AQ28" i="13"/>
  <c r="J28" i="13"/>
  <c r="K28" i="13" s="1"/>
  <c r="S26" i="13"/>
  <c r="AR26" i="13"/>
  <c r="F36" i="15" l="1"/>
  <c r="G36" i="15" s="1"/>
  <c r="L36" i="15" s="1"/>
  <c r="AT24" i="13"/>
  <c r="AT25" i="13" s="1"/>
  <c r="AT26" i="13" s="1"/>
  <c r="AT27" i="13" s="1"/>
  <c r="K35" i="14"/>
  <c r="L35" i="14" s="1"/>
  <c r="BQ2" i="22"/>
  <c r="R37" i="22"/>
  <c r="BM38" i="22"/>
  <c r="BY38" i="22"/>
  <c r="AI38" i="22"/>
  <c r="AP38" i="22"/>
  <c r="BF38" i="22"/>
  <c r="BC38" i="22"/>
  <c r="BW38" i="22"/>
  <c r="BS38" i="22"/>
  <c r="BU38" i="22"/>
  <c r="CF38" i="22"/>
  <c r="AN38" i="22"/>
  <c r="BI38" i="22"/>
  <c r="AJ38" i="22"/>
  <c r="BX38" i="22"/>
  <c r="CA38" i="22"/>
  <c r="AV38" i="22"/>
  <c r="AH38" i="22"/>
  <c r="AF38" i="22" s="1"/>
  <c r="BR4" i="22" s="1"/>
  <c r="BA38" i="22"/>
  <c r="CE38" i="22"/>
  <c r="AT38" i="22"/>
  <c r="AR38" i="22"/>
  <c r="AY38" i="22"/>
  <c r="BN38" i="22"/>
  <c r="BZ38" i="22"/>
  <c r="BJ38" i="22"/>
  <c r="AW38" i="22"/>
  <c r="AM38" i="22"/>
  <c r="AZ38" i="22"/>
  <c r="BD38" i="22"/>
  <c r="AO38" i="22"/>
  <c r="AX38" i="22"/>
  <c r="BQ38" i="22"/>
  <c r="BV38" i="22"/>
  <c r="BK38" i="22"/>
  <c r="BL38" i="22"/>
  <c r="AS38" i="22"/>
  <c r="BH38" i="22"/>
  <c r="AU38" i="22"/>
  <c r="BG38" i="22"/>
  <c r="AK38" i="22"/>
  <c r="BE38" i="22"/>
  <c r="AL38" i="22"/>
  <c r="CD38" i="22"/>
  <c r="CB38" i="22"/>
  <c r="BR38" i="22"/>
  <c r="BP38" i="22"/>
  <c r="A39" i="22"/>
  <c r="AG38" i="22"/>
  <c r="BT38" i="22"/>
  <c r="BB38" i="22"/>
  <c r="AQ38" i="22"/>
  <c r="CG38" i="22"/>
  <c r="CC38" i="22"/>
  <c r="BO38" i="22"/>
  <c r="AJ23" i="13"/>
  <c r="AK23" i="13" s="1"/>
  <c r="V25" i="13"/>
  <c r="AE25" i="13" s="1"/>
  <c r="AF25" i="13" s="1"/>
  <c r="P42" i="15"/>
  <c r="O43" i="15" s="1"/>
  <c r="P43" i="14"/>
  <c r="O44" i="14" s="1"/>
  <c r="AJ20" i="13"/>
  <c r="AK20" i="13" s="1"/>
  <c r="AI19" i="13"/>
  <c r="K45" i="15"/>
  <c r="J46" i="15" s="1"/>
  <c r="M22" i="14"/>
  <c r="R22" i="14" s="1"/>
  <c r="M21" i="16"/>
  <c r="M21" i="15"/>
  <c r="R21" i="15" s="1"/>
  <c r="M21" i="22"/>
  <c r="AB26" i="13"/>
  <c r="S27" i="13"/>
  <c r="AR27" i="13"/>
  <c r="G30" i="13"/>
  <c r="H30" i="13" s="1"/>
  <c r="I30" i="13" s="1"/>
  <c r="AQ29" i="13"/>
  <c r="J29" i="13"/>
  <c r="K29" i="13" s="1"/>
  <c r="V24" i="13"/>
  <c r="AE24" i="13" s="1"/>
  <c r="AF24" i="13" s="1"/>
  <c r="M28" i="13"/>
  <c r="P28" i="13" s="1"/>
  <c r="L28" i="13"/>
  <c r="O28" i="13" s="1"/>
  <c r="N28" i="13"/>
  <c r="Q28" i="13" s="1"/>
  <c r="T26" i="13"/>
  <c r="AC26" i="13" s="1"/>
  <c r="AS26" i="13" l="1"/>
  <c r="AS27" i="13" s="1"/>
  <c r="AS28" i="13" s="1"/>
  <c r="F37" i="15"/>
  <c r="J36" i="14"/>
  <c r="K36" i="14" s="1"/>
  <c r="L36" i="14" s="1"/>
  <c r="R38" i="22"/>
  <c r="BR2" i="22"/>
  <c r="AT39" i="22"/>
  <c r="CC39" i="22"/>
  <c r="BS39" i="22"/>
  <c r="BJ39" i="22"/>
  <c r="AP39" i="22"/>
  <c r="BV39" i="22"/>
  <c r="CB39" i="22"/>
  <c r="BY39" i="22"/>
  <c r="BA39" i="22"/>
  <c r="BN39" i="22"/>
  <c r="AI39" i="22"/>
  <c r="BG39" i="22"/>
  <c r="AL39" i="22"/>
  <c r="A40" i="22"/>
  <c r="AG39" i="22"/>
  <c r="BW39" i="22"/>
  <c r="AH39" i="22"/>
  <c r="AF39" i="22" s="1"/>
  <c r="BS4" i="22" s="1"/>
  <c r="BM39" i="22"/>
  <c r="BE39" i="22"/>
  <c r="AN39" i="22"/>
  <c r="CD39" i="22"/>
  <c r="BI39" i="22"/>
  <c r="BR39" i="22"/>
  <c r="BQ39" i="22"/>
  <c r="BO39" i="22"/>
  <c r="AR39" i="22"/>
  <c r="AU39" i="22"/>
  <c r="BH39" i="22"/>
  <c r="AY39" i="22"/>
  <c r="BK39" i="22"/>
  <c r="AO39" i="22"/>
  <c r="AW39" i="22"/>
  <c r="AS39" i="22"/>
  <c r="AZ39" i="22"/>
  <c r="AQ39" i="22"/>
  <c r="BZ39" i="22"/>
  <c r="AM39" i="22"/>
  <c r="BB39" i="22"/>
  <c r="BD39" i="22"/>
  <c r="BT39" i="22"/>
  <c r="CG39" i="22"/>
  <c r="AV39" i="22"/>
  <c r="BL39" i="22"/>
  <c r="AK39" i="22"/>
  <c r="AX39" i="22"/>
  <c r="CA39" i="22"/>
  <c r="BP39" i="22"/>
  <c r="CF39" i="22"/>
  <c r="BF39" i="22"/>
  <c r="BU39" i="22"/>
  <c r="BC39" i="22"/>
  <c r="BX39" i="22"/>
  <c r="AJ39" i="22"/>
  <c r="CE39" i="22"/>
  <c r="P44" i="14"/>
  <c r="O45" i="14" s="1"/>
  <c r="P43" i="15"/>
  <c r="O44" i="15" s="1"/>
  <c r="AB27" i="13"/>
  <c r="G31" i="13"/>
  <c r="H31" i="13" s="1"/>
  <c r="I31" i="13" s="1"/>
  <c r="AQ30" i="13"/>
  <c r="J30" i="13"/>
  <c r="K30" i="13" s="1"/>
  <c r="T27" i="13"/>
  <c r="AC27" i="13" s="1"/>
  <c r="AM25" i="13"/>
  <c r="AJ25" i="13"/>
  <c r="AK25" i="13" s="1"/>
  <c r="S28" i="13"/>
  <c r="T28" i="13" s="1"/>
  <c r="AC28" i="13" s="1"/>
  <c r="AR28" i="13"/>
  <c r="AM24" i="13"/>
  <c r="AJ24" i="13"/>
  <c r="AK24" i="13" s="1"/>
  <c r="K46" i="15"/>
  <c r="J47" i="15" s="1"/>
  <c r="AT28" i="13"/>
  <c r="U26" i="13"/>
  <c r="AD26" i="13" s="1"/>
  <c r="L29" i="13"/>
  <c r="O29" i="13" s="1"/>
  <c r="N29" i="13"/>
  <c r="Q29" i="13" s="1"/>
  <c r="M29" i="13"/>
  <c r="P29" i="13" s="1"/>
  <c r="AJ19" i="13"/>
  <c r="AK19" i="13" s="1"/>
  <c r="AI18" i="13"/>
  <c r="G37" i="15" l="1"/>
  <c r="L37" i="15" s="1"/>
  <c r="J37" i="14"/>
  <c r="K37" i="14" s="1"/>
  <c r="L37" i="14" s="1"/>
  <c r="AU40" i="22"/>
  <c r="AT40" i="22"/>
  <c r="BV40" i="22"/>
  <c r="BQ40" i="22"/>
  <c r="BN40" i="22"/>
  <c r="BO40" i="22"/>
  <c r="BK40" i="22"/>
  <c r="BJ40" i="22"/>
  <c r="AK40" i="22"/>
  <c r="BC40" i="22"/>
  <c r="AH40" i="22"/>
  <c r="AF40" i="22" s="1"/>
  <c r="BT4" i="22" s="1"/>
  <c r="BI40" i="22"/>
  <c r="CF40" i="22"/>
  <c r="CA40" i="22"/>
  <c r="BR40" i="22"/>
  <c r="CC40" i="22"/>
  <c r="BY40" i="22"/>
  <c r="AI40" i="22"/>
  <c r="A41" i="22"/>
  <c r="BW40" i="22"/>
  <c r="BU40" i="22"/>
  <c r="BE40" i="22"/>
  <c r="AN40" i="22"/>
  <c r="AP40" i="22"/>
  <c r="BF40" i="22"/>
  <c r="BB40" i="22"/>
  <c r="CB40" i="22"/>
  <c r="AR40" i="22"/>
  <c r="AO40" i="22"/>
  <c r="BG40" i="22"/>
  <c r="BA40" i="22"/>
  <c r="AZ40" i="22"/>
  <c r="BS40" i="22"/>
  <c r="BL40" i="22"/>
  <c r="BH40" i="22"/>
  <c r="CG40" i="22"/>
  <c r="BM40" i="22"/>
  <c r="AL40" i="22"/>
  <c r="BZ40" i="22"/>
  <c r="AS40" i="22"/>
  <c r="BT40" i="22"/>
  <c r="AY40" i="22"/>
  <c r="AJ40" i="22"/>
  <c r="CD40" i="22"/>
  <c r="BX40" i="22"/>
  <c r="AM40" i="22"/>
  <c r="AQ40" i="22"/>
  <c r="AV40" i="22"/>
  <c r="CE40" i="22"/>
  <c r="BP40" i="22"/>
  <c r="AX40" i="22"/>
  <c r="BD40" i="22"/>
  <c r="AW40" i="22"/>
  <c r="AG40" i="22"/>
  <c r="BS2" i="22"/>
  <c r="R39" i="22"/>
  <c r="P45" i="14"/>
  <c r="O46" i="14" s="1"/>
  <c r="K47" i="15"/>
  <c r="J48" i="15" s="1"/>
  <c r="M22" i="15"/>
  <c r="R22" i="15" s="1"/>
  <c r="M23" i="14"/>
  <c r="R23" i="14" s="1"/>
  <c r="M22" i="16"/>
  <c r="M22" i="22"/>
  <c r="M23" i="16"/>
  <c r="M24" i="14"/>
  <c r="R24" i="14" s="1"/>
  <c r="M23" i="15"/>
  <c r="R23" i="15" s="1"/>
  <c r="M23" i="22"/>
  <c r="U27" i="13"/>
  <c r="AD27" i="13" s="1"/>
  <c r="M30" i="13"/>
  <c r="P30" i="13" s="1"/>
  <c r="N30" i="13"/>
  <c r="Q30" i="13" s="1"/>
  <c r="L30" i="13"/>
  <c r="O30" i="13" s="1"/>
  <c r="P44" i="15"/>
  <c r="O45" i="15" s="1"/>
  <c r="V26" i="13"/>
  <c r="AE26" i="13" s="1"/>
  <c r="AF26" i="13" s="1"/>
  <c r="AB28" i="13"/>
  <c r="U28" i="13"/>
  <c r="AD28" i="13" s="1"/>
  <c r="AS29" i="13"/>
  <c r="AJ18" i="13"/>
  <c r="AK18" i="13" s="1"/>
  <c r="AI17" i="13"/>
  <c r="AT29" i="13"/>
  <c r="G32" i="13"/>
  <c r="H32" i="13" s="1"/>
  <c r="I32" i="13" s="1"/>
  <c r="AQ31" i="13"/>
  <c r="J31" i="13"/>
  <c r="K31" i="13" s="1"/>
  <c r="S29" i="13"/>
  <c r="AR29" i="13"/>
  <c r="F38" i="15" l="1"/>
  <c r="G38" i="15" s="1"/>
  <c r="L38" i="15" s="1"/>
  <c r="J38" i="14"/>
  <c r="R40" i="22"/>
  <c r="BT2" i="22"/>
  <c r="AH41" i="22"/>
  <c r="BU41" i="22"/>
  <c r="AK41" i="22"/>
  <c r="AN41" i="22"/>
  <c r="BC41" i="22"/>
  <c r="AU41" i="22"/>
  <c r="BW41" i="22"/>
  <c r="BJ41" i="22"/>
  <c r="BQ41" i="22"/>
  <c r="A42" i="22"/>
  <c r="AL41" i="22"/>
  <c r="BG41" i="22"/>
  <c r="AM41" i="22"/>
  <c r="BH41" i="22"/>
  <c r="AS41" i="22"/>
  <c r="BL41" i="22"/>
  <c r="AP41" i="22"/>
  <c r="BF41" i="22"/>
  <c r="CG41" i="22"/>
  <c r="CD41" i="22"/>
  <c r="CA41" i="22"/>
  <c r="AQ41" i="22"/>
  <c r="BP41" i="22"/>
  <c r="AV41" i="22"/>
  <c r="AZ41" i="22"/>
  <c r="BS41" i="22"/>
  <c r="BR41" i="22"/>
  <c r="BN41" i="22"/>
  <c r="BE41" i="22"/>
  <c r="AI41" i="22"/>
  <c r="CE41" i="22"/>
  <c r="AG41" i="22"/>
  <c r="BU2" i="22" s="1"/>
  <c r="AX41" i="22"/>
  <c r="BB41" i="22"/>
  <c r="AY41" i="22"/>
  <c r="AJ41" i="22"/>
  <c r="BM41" i="22"/>
  <c r="BX41" i="22"/>
  <c r="BO41" i="22"/>
  <c r="BZ41" i="22"/>
  <c r="CC41" i="22"/>
  <c r="CF41" i="22"/>
  <c r="BI41" i="22"/>
  <c r="AO41" i="22"/>
  <c r="AW41" i="22"/>
  <c r="BV41" i="22"/>
  <c r="BY41" i="22"/>
  <c r="BT41" i="22"/>
  <c r="CB41" i="22"/>
  <c r="BK41" i="22"/>
  <c r="AR41" i="22"/>
  <c r="BA41" i="22"/>
  <c r="AT41" i="22"/>
  <c r="BD41" i="22"/>
  <c r="V28" i="13"/>
  <c r="AE28" i="13" s="1"/>
  <c r="AF28" i="13" s="1"/>
  <c r="V27" i="13"/>
  <c r="AE27" i="13" s="1"/>
  <c r="AF27" i="13" s="1"/>
  <c r="P45" i="15"/>
  <c r="O46" i="15" s="1"/>
  <c r="AM26" i="13"/>
  <c r="AJ26" i="13"/>
  <c r="AK26" i="13" s="1"/>
  <c r="K48" i="15"/>
  <c r="K6" i="15" s="1"/>
  <c r="G33" i="13"/>
  <c r="H33" i="13" s="1"/>
  <c r="I33" i="13" s="1"/>
  <c r="AQ32" i="13"/>
  <c r="J32" i="13"/>
  <c r="K32" i="13" s="1"/>
  <c r="S30" i="13"/>
  <c r="T30" i="13" s="1"/>
  <c r="AC30" i="13" s="1"/>
  <c r="AR30" i="13"/>
  <c r="AT30" i="13"/>
  <c r="AJ17" i="13"/>
  <c r="AK17" i="13" s="1"/>
  <c r="AI16" i="13"/>
  <c r="AB29" i="13"/>
  <c r="AS30" i="13"/>
  <c r="T29" i="13"/>
  <c r="AC29" i="13" s="1"/>
  <c r="N31" i="13"/>
  <c r="Q31" i="13" s="1"/>
  <c r="M31" i="13"/>
  <c r="P31" i="13" s="1"/>
  <c r="L31" i="13"/>
  <c r="O31" i="13" s="1"/>
  <c r="P46" i="14"/>
  <c r="O47" i="14" s="1"/>
  <c r="D14" i="5" l="1"/>
  <c r="F39" i="15"/>
  <c r="G39" i="15" s="1"/>
  <c r="L39" i="15" s="1"/>
  <c r="K38" i="14"/>
  <c r="L38" i="14" s="1"/>
  <c r="D11" i="5"/>
  <c r="D12" i="5"/>
  <c r="S41" i="22"/>
  <c r="AF41" i="22"/>
  <c r="BU4" i="22" s="1"/>
  <c r="D9" i="5"/>
  <c r="E7" i="2" s="1"/>
  <c r="A43" i="22"/>
  <c r="AS42" i="22"/>
  <c r="BM42" i="22"/>
  <c r="BB42" i="22"/>
  <c r="AW42" i="22"/>
  <c r="AL42" i="22"/>
  <c r="BH42" i="22"/>
  <c r="AP42" i="22"/>
  <c r="CB42" i="22"/>
  <c r="AJ42" i="22"/>
  <c r="BK42" i="22"/>
  <c r="BO42" i="22"/>
  <c r="BL42" i="22"/>
  <c r="BQ42" i="22"/>
  <c r="AH42" i="22"/>
  <c r="AT42" i="22"/>
  <c r="AI42" i="22"/>
  <c r="AN42" i="22"/>
  <c r="BT42" i="22"/>
  <c r="BC42" i="22"/>
  <c r="BX42" i="22"/>
  <c r="AR42" i="22"/>
  <c r="BA42" i="22"/>
  <c r="BN42" i="22"/>
  <c r="BV42" i="22"/>
  <c r="BP42" i="22"/>
  <c r="CC42" i="22"/>
  <c r="BF42" i="22"/>
  <c r="CF42" i="22"/>
  <c r="BI42" i="22"/>
  <c r="CE42" i="22"/>
  <c r="AQ42" i="22"/>
  <c r="AX42" i="22"/>
  <c r="CD42" i="22"/>
  <c r="AM42" i="22"/>
  <c r="AK42" i="22"/>
  <c r="BZ42" i="22"/>
  <c r="AZ42" i="22"/>
  <c r="AY42" i="22"/>
  <c r="AU42" i="22"/>
  <c r="AO42" i="22"/>
  <c r="CA42" i="22"/>
  <c r="BR42" i="22"/>
  <c r="BJ42" i="22"/>
  <c r="BU42" i="22"/>
  <c r="BY42" i="22"/>
  <c r="BS42" i="22"/>
  <c r="BW42" i="22"/>
  <c r="BG42" i="22"/>
  <c r="BD42" i="22"/>
  <c r="BE42" i="22"/>
  <c r="AV42" i="22"/>
  <c r="CG42" i="22"/>
  <c r="D13" i="5"/>
  <c r="D10" i="5"/>
  <c r="J49" i="15"/>
  <c r="K49" i="15" s="1"/>
  <c r="AM27" i="13"/>
  <c r="M25" i="16" s="1"/>
  <c r="AJ27" i="13"/>
  <c r="AK27" i="13" s="1"/>
  <c r="P46" i="15"/>
  <c r="O47" i="15" s="1"/>
  <c r="AT31" i="13"/>
  <c r="U30" i="13"/>
  <c r="AD30" i="13" s="1"/>
  <c r="M25" i="14"/>
  <c r="R25" i="14" s="1"/>
  <c r="M24" i="16"/>
  <c r="M24" i="15"/>
  <c r="R24" i="15" s="1"/>
  <c r="M24" i="22"/>
  <c r="U29" i="13"/>
  <c r="AD29" i="13" s="1"/>
  <c r="L32" i="13"/>
  <c r="O32" i="13" s="1"/>
  <c r="M32" i="13"/>
  <c r="P32" i="13" s="1"/>
  <c r="N32" i="13"/>
  <c r="Q32" i="13" s="1"/>
  <c r="P47" i="14"/>
  <c r="O48" i="14" s="1"/>
  <c r="AJ16" i="13"/>
  <c r="AK16" i="13" s="1"/>
  <c r="AI15" i="13"/>
  <c r="AB30" i="13"/>
  <c r="AS31" i="13"/>
  <c r="AM28" i="13"/>
  <c r="AJ28" i="13"/>
  <c r="AK28" i="13" s="1"/>
  <c r="G34" i="13"/>
  <c r="H34" i="13" s="1"/>
  <c r="I34" i="13" s="1"/>
  <c r="AQ33" i="13"/>
  <c r="J33" i="13"/>
  <c r="K33" i="13" s="1"/>
  <c r="S31" i="13"/>
  <c r="AR31" i="13"/>
  <c r="F40" i="15" l="1"/>
  <c r="G40" i="15" s="1"/>
  <c r="L40" i="15" s="1"/>
  <c r="J39" i="14"/>
  <c r="K39" i="14" s="1"/>
  <c r="L39" i="14" s="1"/>
  <c r="AK43" i="22"/>
  <c r="BH43" i="22"/>
  <c r="BZ43" i="22"/>
  <c r="BS43" i="22"/>
  <c r="CC43" i="22"/>
  <c r="AJ43" i="22"/>
  <c r="BE43" i="22"/>
  <c r="AO43" i="22"/>
  <c r="CD43" i="22"/>
  <c r="BO43" i="22"/>
  <c r="AI43" i="22"/>
  <c r="BF43" i="22"/>
  <c r="AP43" i="22"/>
  <c r="AZ43" i="22"/>
  <c r="CG43" i="22"/>
  <c r="CF43" i="22"/>
  <c r="BP43" i="22"/>
  <c r="AL43" i="22"/>
  <c r="BD43" i="22"/>
  <c r="CE43" i="22"/>
  <c r="AQ43" i="22"/>
  <c r="CA43" i="22"/>
  <c r="AR43" i="22"/>
  <c r="AT43" i="22"/>
  <c r="BK43" i="22"/>
  <c r="BW43" i="22"/>
  <c r="AU43" i="22"/>
  <c r="BX43" i="22"/>
  <c r="BB43" i="22"/>
  <c r="BC43" i="22"/>
  <c r="AX43" i="22"/>
  <c r="BM43" i="22"/>
  <c r="CB43" i="22"/>
  <c r="BN43" i="22"/>
  <c r="BT43" i="22"/>
  <c r="BJ43" i="22"/>
  <c r="AH43" i="22"/>
  <c r="AF43" i="22" s="1"/>
  <c r="BW4" i="22" s="1"/>
  <c r="BG43" i="22"/>
  <c r="AV43" i="22"/>
  <c r="AS43" i="22"/>
  <c r="BY43" i="22"/>
  <c r="BI43" i="22"/>
  <c r="AW43" i="22"/>
  <c r="AM43" i="22"/>
  <c r="BL43" i="22"/>
  <c r="BA43" i="22"/>
  <c r="BQ43" i="22"/>
  <c r="BU43" i="22"/>
  <c r="AY43" i="22"/>
  <c r="BR43" i="22"/>
  <c r="AN43" i="22"/>
  <c r="A44" i="22"/>
  <c r="BV43" i="22"/>
  <c r="S42" i="22"/>
  <c r="AF42" i="22"/>
  <c r="BV4" i="22" s="1"/>
  <c r="V29" i="13"/>
  <c r="AE29" i="13" s="1"/>
  <c r="AF29" i="13" s="1"/>
  <c r="M25" i="22"/>
  <c r="M26" i="14"/>
  <c r="R26" i="14" s="1"/>
  <c r="M25" i="15"/>
  <c r="R25" i="15" s="1"/>
  <c r="V30" i="13"/>
  <c r="AE30" i="13" s="1"/>
  <c r="AF30" i="13" s="1"/>
  <c r="P48" i="14"/>
  <c r="O49" i="14" s="1"/>
  <c r="AB31" i="13"/>
  <c r="M33" i="13"/>
  <c r="P33" i="13" s="1"/>
  <c r="L33" i="13"/>
  <c r="O33" i="13" s="1"/>
  <c r="N33" i="13"/>
  <c r="Q33" i="13" s="1"/>
  <c r="AS32" i="13"/>
  <c r="AJ15" i="13"/>
  <c r="AK15" i="13" s="1"/>
  <c r="AI14" i="13"/>
  <c r="G35" i="13"/>
  <c r="H35" i="13" s="1"/>
  <c r="AQ34" i="13"/>
  <c r="J34" i="13"/>
  <c r="K34" i="13" s="1"/>
  <c r="T31" i="13"/>
  <c r="AC31" i="13" s="1"/>
  <c r="M26" i="16"/>
  <c r="M26" i="15"/>
  <c r="R26" i="15" s="1"/>
  <c r="M27" i="14"/>
  <c r="R27" i="14" s="1"/>
  <c r="M26" i="22"/>
  <c r="S32" i="13"/>
  <c r="T32" i="13" s="1"/>
  <c r="AC32" i="13" s="1"/>
  <c r="AR32" i="13"/>
  <c r="P47" i="15"/>
  <c r="O48" i="15" s="1"/>
  <c r="AT32" i="13"/>
  <c r="F41" i="15" l="1"/>
  <c r="G41" i="15" s="1"/>
  <c r="L41" i="15" s="1"/>
  <c r="J40" i="14"/>
  <c r="K40" i="14" s="1"/>
  <c r="L40" i="14" s="1"/>
  <c r="BM44" i="22"/>
  <c r="BR44" i="22"/>
  <c r="AZ44" i="22"/>
  <c r="BW44" i="22"/>
  <c r="AM44" i="22"/>
  <c r="AV44" i="22"/>
  <c r="CF44" i="22"/>
  <c r="AR44" i="22"/>
  <c r="BP44" i="22"/>
  <c r="AN44" i="22"/>
  <c r="BD44" i="22"/>
  <c r="BY44" i="22"/>
  <c r="BB44" i="22"/>
  <c r="AU44" i="22"/>
  <c r="BC44" i="22"/>
  <c r="AI44" i="22"/>
  <c r="AH44" i="22"/>
  <c r="AF44" i="22" s="1"/>
  <c r="BX4" i="22" s="1"/>
  <c r="CG44" i="22"/>
  <c r="BS44" i="22"/>
  <c r="BU44" i="22"/>
  <c r="AJ44" i="22"/>
  <c r="BI44" i="22"/>
  <c r="BX44" i="22"/>
  <c r="BV44" i="22"/>
  <c r="CD44" i="22"/>
  <c r="CA44" i="22"/>
  <c r="AX44" i="22"/>
  <c r="AW44" i="22"/>
  <c r="BT44" i="22"/>
  <c r="AQ44" i="22"/>
  <c r="AK44" i="22"/>
  <c r="CE44" i="22"/>
  <c r="CB44" i="22"/>
  <c r="BK44" i="22"/>
  <c r="BH44" i="22"/>
  <c r="BA44" i="22"/>
  <c r="BQ44" i="22"/>
  <c r="AY44" i="22"/>
  <c r="AL44" i="22"/>
  <c r="AT44" i="22"/>
  <c r="A45" i="22"/>
  <c r="BL44" i="22"/>
  <c r="AS44" i="22"/>
  <c r="BG44" i="22"/>
  <c r="BE44" i="22"/>
  <c r="BF44" i="22"/>
  <c r="BN44" i="22"/>
  <c r="AO44" i="22"/>
  <c r="BO44" i="22"/>
  <c r="BZ44" i="22"/>
  <c r="CC44" i="22"/>
  <c r="BJ44" i="22"/>
  <c r="AP44" i="22"/>
  <c r="AJ29" i="13"/>
  <c r="AK29" i="13" s="1"/>
  <c r="AM29" i="13"/>
  <c r="M27" i="16" s="1"/>
  <c r="U31" i="13"/>
  <c r="AD31" i="13" s="1"/>
  <c r="AJ30" i="13"/>
  <c r="AK30" i="13" s="1"/>
  <c r="P48" i="15"/>
  <c r="P6" i="15" s="1"/>
  <c r="AT33" i="13"/>
  <c r="P49" i="14"/>
  <c r="P6" i="14" s="1"/>
  <c r="AJ14" i="13"/>
  <c r="AK14" i="13" s="1"/>
  <c r="AI13" i="13"/>
  <c r="AB32" i="13"/>
  <c r="U32" i="13"/>
  <c r="AD32" i="13" s="1"/>
  <c r="I35" i="13"/>
  <c r="S33" i="13"/>
  <c r="AR33" i="13"/>
  <c r="AS33" i="13"/>
  <c r="M34" i="13"/>
  <c r="P34" i="13" s="1"/>
  <c r="N34" i="13"/>
  <c r="Q34" i="13" s="1"/>
  <c r="L34" i="13"/>
  <c r="O34" i="13" s="1"/>
  <c r="F42" i="15" l="1"/>
  <c r="J41" i="14"/>
  <c r="BD45" i="22"/>
  <c r="CC45" i="22"/>
  <c r="BA45" i="22"/>
  <c r="BS45" i="22"/>
  <c r="BC45" i="22"/>
  <c r="BR45" i="22"/>
  <c r="AS45" i="22"/>
  <c r="AW45" i="22"/>
  <c r="CF45" i="22"/>
  <c r="AY45" i="22"/>
  <c r="CB45" i="22"/>
  <c r="BU45" i="22"/>
  <c r="BE45" i="22"/>
  <c r="BI45" i="22"/>
  <c r="CG45" i="22"/>
  <c r="BG45" i="22"/>
  <c r="AH45" i="22"/>
  <c r="AF45" i="22" s="1"/>
  <c r="BY4" i="22" s="1"/>
  <c r="BY45" i="22"/>
  <c r="BP45" i="22"/>
  <c r="AP45" i="22"/>
  <c r="BN45" i="22"/>
  <c r="CD45" i="22"/>
  <c r="BT45" i="22"/>
  <c r="AV45" i="22"/>
  <c r="AQ45" i="22"/>
  <c r="BO45" i="22"/>
  <c r="BB45" i="22"/>
  <c r="CA45" i="22"/>
  <c r="AU45" i="22"/>
  <c r="BV45" i="22"/>
  <c r="BZ45" i="22"/>
  <c r="AN45" i="22"/>
  <c r="BH45" i="22"/>
  <c r="BK45" i="22"/>
  <c r="BW45" i="22"/>
  <c r="A46" i="22"/>
  <c r="AJ45" i="22"/>
  <c r="AX45" i="22"/>
  <c r="AL45" i="22"/>
  <c r="BL45" i="22"/>
  <c r="AI45" i="22"/>
  <c r="BQ45" i="22"/>
  <c r="AT45" i="22"/>
  <c r="AK45" i="22"/>
  <c r="AO45" i="22"/>
  <c r="BF45" i="22"/>
  <c r="AZ45" i="22"/>
  <c r="BM45" i="22"/>
  <c r="BX45" i="22"/>
  <c r="CE45" i="22"/>
  <c r="AM45" i="22"/>
  <c r="BJ45" i="22"/>
  <c r="AR45" i="22"/>
  <c r="M27" i="22"/>
  <c r="M27" i="15"/>
  <c r="R27" i="15" s="1"/>
  <c r="M28" i="14"/>
  <c r="R28" i="14" s="1"/>
  <c r="V31" i="13"/>
  <c r="AE31" i="13" s="1"/>
  <c r="AF31" i="13" s="1"/>
  <c r="AS34" i="13"/>
  <c r="S34" i="13"/>
  <c r="T34" i="13" s="1"/>
  <c r="AC34" i="13" s="1"/>
  <c r="AR34" i="13"/>
  <c r="G36" i="13"/>
  <c r="H36" i="13" s="1"/>
  <c r="I36" i="13" s="1"/>
  <c r="AQ35" i="13"/>
  <c r="J35" i="13"/>
  <c r="K35" i="13" s="1"/>
  <c r="AB33" i="13"/>
  <c r="O50" i="14"/>
  <c r="P50" i="14" s="1"/>
  <c r="AJ13" i="13"/>
  <c r="AK13" i="13" s="1"/>
  <c r="AI12" i="13"/>
  <c r="AT34" i="13"/>
  <c r="V32" i="13"/>
  <c r="AE32" i="13" s="1"/>
  <c r="AF32" i="13" s="1"/>
  <c r="T33" i="13"/>
  <c r="AC33" i="13" s="1"/>
  <c r="O49" i="15"/>
  <c r="P49" i="15" s="1"/>
  <c r="G42" i="15" l="1"/>
  <c r="L42" i="15" s="1"/>
  <c r="K41" i="14"/>
  <c r="L41" i="14" s="1"/>
  <c r="BL46" i="22"/>
  <c r="BN46" i="22"/>
  <c r="AJ46" i="22"/>
  <c r="BK46" i="22"/>
  <c r="AK46" i="22"/>
  <c r="BD46" i="22"/>
  <c r="AM46" i="22"/>
  <c r="AN46" i="22"/>
  <c r="BI46" i="22"/>
  <c r="BY46" i="22"/>
  <c r="AS46" i="22"/>
  <c r="BB46" i="22"/>
  <c r="AX46" i="22"/>
  <c r="BZ46" i="22"/>
  <c r="BX46" i="22"/>
  <c r="CE46" i="22"/>
  <c r="BS46" i="22"/>
  <c r="AO46" i="22"/>
  <c r="CF46" i="22"/>
  <c r="AW46" i="22"/>
  <c r="BV46" i="22"/>
  <c r="CC46" i="22"/>
  <c r="BU46" i="22"/>
  <c r="AI46" i="22"/>
  <c r="BA46" i="22"/>
  <c r="AT46" i="22"/>
  <c r="BM46" i="22"/>
  <c r="BF46" i="22"/>
  <c r="AY46" i="22"/>
  <c r="AU46" i="22"/>
  <c r="BP46" i="22"/>
  <c r="BG46" i="22"/>
  <c r="AH46" i="22"/>
  <c r="AF46" i="22" s="1"/>
  <c r="BZ4" i="22" s="1"/>
  <c r="AQ46" i="22"/>
  <c r="BR46" i="22"/>
  <c r="CB46" i="22"/>
  <c r="BQ46" i="22"/>
  <c r="CA46" i="22"/>
  <c r="AP46" i="22"/>
  <c r="A47" i="22"/>
  <c r="AZ46" i="22"/>
  <c r="BJ46" i="22"/>
  <c r="BH46" i="22"/>
  <c r="BW46" i="22"/>
  <c r="CD46" i="22"/>
  <c r="AL46" i="22"/>
  <c r="BT46" i="22"/>
  <c r="AR46" i="22"/>
  <c r="AV46" i="22"/>
  <c r="BC46" i="22"/>
  <c r="CG46" i="22"/>
  <c r="BO46" i="22"/>
  <c r="BE46" i="22"/>
  <c r="AM31" i="13"/>
  <c r="M29" i="15" s="1"/>
  <c r="R29" i="15" s="1"/>
  <c r="AJ31" i="13"/>
  <c r="AK31" i="13" s="1"/>
  <c r="AM32" i="13"/>
  <c r="AJ32" i="13"/>
  <c r="AK32" i="13" s="1"/>
  <c r="AB34" i="13"/>
  <c r="M35" i="13"/>
  <c r="P35" i="13" s="1"/>
  <c r="L35" i="13"/>
  <c r="O35" i="13" s="1"/>
  <c r="N35" i="13"/>
  <c r="Q35" i="13" s="1"/>
  <c r="AJ12" i="13"/>
  <c r="AI9" i="13"/>
  <c r="G37" i="13"/>
  <c r="H37" i="13" s="1"/>
  <c r="I37" i="13" s="1"/>
  <c r="AQ36" i="13"/>
  <c r="J36" i="13"/>
  <c r="K36" i="13" s="1"/>
  <c r="U33" i="13"/>
  <c r="AD33" i="13" s="1"/>
  <c r="U34" i="13"/>
  <c r="AD34" i="13" s="1"/>
  <c r="F43" i="15" l="1"/>
  <c r="G43" i="15" s="1"/>
  <c r="L43" i="15" s="1"/>
  <c r="J42" i="14"/>
  <c r="K42" i="14" s="1"/>
  <c r="L42" i="14" s="1"/>
  <c r="BJ47" i="22"/>
  <c r="AH47" i="22"/>
  <c r="AF47" i="22" s="1"/>
  <c r="CA4" i="22" s="1"/>
  <c r="CG47" i="22"/>
  <c r="BD47" i="22"/>
  <c r="BC47" i="22"/>
  <c r="AQ47" i="22"/>
  <c r="BT47" i="22"/>
  <c r="BL47" i="22"/>
  <c r="BP47" i="22"/>
  <c r="BV47" i="22"/>
  <c r="AK47" i="22"/>
  <c r="AV47" i="22"/>
  <c r="BZ47" i="22"/>
  <c r="BG47" i="22"/>
  <c r="AS47" i="22"/>
  <c r="CB47" i="22"/>
  <c r="BS47" i="22"/>
  <c r="AW47" i="22"/>
  <c r="AU47" i="22"/>
  <c r="CF47" i="22"/>
  <c r="BO47" i="22"/>
  <c r="AR47" i="22"/>
  <c r="BW47" i="22"/>
  <c r="CA47" i="22"/>
  <c r="BA47" i="22"/>
  <c r="BH47" i="22"/>
  <c r="BB47" i="22"/>
  <c r="BY47" i="22"/>
  <c r="BE47" i="22"/>
  <c r="BX47" i="22"/>
  <c r="BN47" i="22"/>
  <c r="AZ47" i="22"/>
  <c r="CC47" i="22"/>
  <c r="AT47" i="22"/>
  <c r="CD47" i="22"/>
  <c r="AX47" i="22"/>
  <c r="AJ47" i="22"/>
  <c r="AP47" i="22"/>
  <c r="BF47" i="22"/>
  <c r="A48" i="22"/>
  <c r="AY47" i="22"/>
  <c r="BR47" i="22"/>
  <c r="AM47" i="22"/>
  <c r="BM47" i="22"/>
  <c r="CE47" i="22"/>
  <c r="BI47" i="22"/>
  <c r="AN47" i="22"/>
  <c r="AL47" i="22"/>
  <c r="AO47" i="22"/>
  <c r="BU47" i="22"/>
  <c r="BQ47" i="22"/>
  <c r="AI47" i="22"/>
  <c r="BK47" i="22"/>
  <c r="M29" i="16"/>
  <c r="M30" i="14"/>
  <c r="R30" i="14" s="1"/>
  <c r="M29" i="22"/>
  <c r="M30" i="16"/>
  <c r="M31" i="14"/>
  <c r="R31" i="14" s="1"/>
  <c r="M30" i="15"/>
  <c r="R30" i="15" s="1"/>
  <c r="M30" i="22"/>
  <c r="G38" i="13"/>
  <c r="H38" i="13" s="1"/>
  <c r="I38" i="13" s="1"/>
  <c r="AQ37" i="13"/>
  <c r="J37" i="13"/>
  <c r="K37" i="13" s="1"/>
  <c r="AT35" i="13"/>
  <c r="S35" i="13"/>
  <c r="T35" i="13" s="1"/>
  <c r="AC35" i="13" s="1"/>
  <c r="AR35" i="13"/>
  <c r="V33" i="13"/>
  <c r="AE33" i="13" s="1"/>
  <c r="AF33" i="13" s="1"/>
  <c r="V34" i="13"/>
  <c r="AE34" i="13" s="1"/>
  <c r="AF34" i="13" s="1"/>
  <c r="AK12" i="13"/>
  <c r="AS35" i="13"/>
  <c r="N36" i="13"/>
  <c r="Q36" i="13" s="1"/>
  <c r="L36" i="13"/>
  <c r="O36" i="13" s="1"/>
  <c r="M36" i="13"/>
  <c r="P36" i="13" s="1"/>
  <c r="F44" i="15" l="1"/>
  <c r="G44" i="15" s="1"/>
  <c r="L44" i="15" s="1"/>
  <c r="J43" i="14"/>
  <c r="K43" i="14" s="1"/>
  <c r="J44" i="14" s="1"/>
  <c r="BP48" i="22"/>
  <c r="AU48" i="22"/>
  <c r="AP48" i="22"/>
  <c r="AS48" i="22"/>
  <c r="BO48" i="22"/>
  <c r="BW48" i="22"/>
  <c r="AJ48" i="22"/>
  <c r="CG48" i="22"/>
  <c r="CB48" i="22"/>
  <c r="A49" i="22"/>
  <c r="BY48" i="22"/>
  <c r="BZ48" i="22"/>
  <c r="AI48" i="22"/>
  <c r="BU48" i="22"/>
  <c r="BM48" i="22"/>
  <c r="BQ48" i="22"/>
  <c r="CF48" i="22"/>
  <c r="BC48" i="22"/>
  <c r="BN48" i="22"/>
  <c r="AM48" i="22"/>
  <c r="AH48" i="22"/>
  <c r="BI48" i="22"/>
  <c r="AY48" i="22"/>
  <c r="BG48" i="22"/>
  <c r="BH48" i="22"/>
  <c r="BJ48" i="22"/>
  <c r="CA48" i="22"/>
  <c r="AZ48" i="22"/>
  <c r="BX48" i="22"/>
  <c r="CC48" i="22"/>
  <c r="AL48" i="22"/>
  <c r="AK48" i="22"/>
  <c r="CE48" i="22"/>
  <c r="AW48" i="22"/>
  <c r="BD48" i="22"/>
  <c r="BB48" i="22"/>
  <c r="AO48" i="22"/>
  <c r="AN48" i="22"/>
  <c r="AQ48" i="22"/>
  <c r="BR48" i="22"/>
  <c r="BF48" i="22"/>
  <c r="BK48" i="22"/>
  <c r="AX48" i="22"/>
  <c r="BS48" i="22"/>
  <c r="BA48" i="22"/>
  <c r="CD48" i="22"/>
  <c r="AT48" i="22"/>
  <c r="BT48" i="22"/>
  <c r="AR48" i="22"/>
  <c r="BL48" i="22"/>
  <c r="AV48" i="22"/>
  <c r="BE48" i="22"/>
  <c r="BV48" i="22"/>
  <c r="AM34" i="13"/>
  <c r="AJ34" i="13"/>
  <c r="AK34" i="13" s="1"/>
  <c r="AM33" i="13"/>
  <c r="AJ33" i="13"/>
  <c r="U35" i="13"/>
  <c r="AD35" i="13" s="1"/>
  <c r="G39" i="13"/>
  <c r="H39" i="13" s="1"/>
  <c r="I39" i="13" s="1"/>
  <c r="AQ38" i="13"/>
  <c r="J38" i="13"/>
  <c r="K38" i="13" s="1"/>
  <c r="N37" i="13"/>
  <c r="Q37" i="13" s="1"/>
  <c r="M37" i="13"/>
  <c r="P37" i="13" s="1"/>
  <c r="L37" i="13"/>
  <c r="O37" i="13" s="1"/>
  <c r="AS36" i="13"/>
  <c r="AT36" i="13"/>
  <c r="AB35" i="13"/>
  <c r="S36" i="13"/>
  <c r="AR36" i="13"/>
  <c r="F45" i="15" l="1"/>
  <c r="G45" i="15" s="1"/>
  <c r="L45" i="15" s="1"/>
  <c r="K44" i="14"/>
  <c r="L44" i="14" s="1"/>
  <c r="L43" i="14"/>
  <c r="BL49" i="22"/>
  <c r="CD49" i="22"/>
  <c r="AJ49" i="22"/>
  <c r="AY49" i="22"/>
  <c r="BX49" i="22"/>
  <c r="BN49" i="22"/>
  <c r="BE49" i="22"/>
  <c r="AM49" i="22"/>
  <c r="BQ49" i="22"/>
  <c r="AP49" i="22"/>
  <c r="AO49" i="22"/>
  <c r="AI49" i="22"/>
  <c r="CE49" i="22"/>
  <c r="CA49" i="22"/>
  <c r="BF49" i="22"/>
  <c r="CG49" i="22"/>
  <c r="BB49" i="22"/>
  <c r="BS49" i="22"/>
  <c r="AS49" i="22"/>
  <c r="AW49" i="22"/>
  <c r="AX49" i="22"/>
  <c r="BZ49" i="22"/>
  <c r="BO49" i="22"/>
  <c r="BY49" i="22"/>
  <c r="BA49" i="22"/>
  <c r="AQ49" i="22"/>
  <c r="CB49" i="22"/>
  <c r="AN49" i="22"/>
  <c r="BR49" i="22"/>
  <c r="BM49" i="22"/>
  <c r="AH49" i="22"/>
  <c r="AF49" i="22" s="1"/>
  <c r="CC4" i="22" s="1"/>
  <c r="AK49" i="22"/>
  <c r="AT49" i="22"/>
  <c r="BP49" i="22"/>
  <c r="BI49" i="22"/>
  <c r="BD49" i="22"/>
  <c r="AU49" i="22"/>
  <c r="BV49" i="22"/>
  <c r="BW49" i="22"/>
  <c r="CC49" i="22"/>
  <c r="BK49" i="22"/>
  <c r="BC49" i="22"/>
  <c r="AZ49" i="22"/>
  <c r="BH49" i="22"/>
  <c r="CF49" i="22"/>
  <c r="AL49" i="22"/>
  <c r="BT49" i="22"/>
  <c r="BG49" i="22"/>
  <c r="AV49" i="22"/>
  <c r="BJ49" i="22"/>
  <c r="BU49" i="22"/>
  <c r="AR49" i="22"/>
  <c r="AF48" i="22"/>
  <c r="CB4" i="22" s="1"/>
  <c r="V35" i="13"/>
  <c r="AE35" i="13" s="1"/>
  <c r="AF35" i="13" s="1"/>
  <c r="AT37" i="13"/>
  <c r="L38" i="13"/>
  <c r="O38" i="13" s="1"/>
  <c r="N38" i="13"/>
  <c r="Q38" i="13" s="1"/>
  <c r="M38" i="13"/>
  <c r="P38" i="13" s="1"/>
  <c r="G40" i="13"/>
  <c r="H40" i="13" s="1"/>
  <c r="I40" i="13" s="1"/>
  <c r="AQ39" i="13"/>
  <c r="J39" i="13"/>
  <c r="K39" i="13" s="1"/>
  <c r="M31" i="15"/>
  <c r="R31" i="15" s="1"/>
  <c r="M31" i="16"/>
  <c r="M32" i="14"/>
  <c r="R32" i="14" s="1"/>
  <c r="M31" i="22"/>
  <c r="AK33" i="13"/>
  <c r="AB36" i="13"/>
  <c r="AS37" i="13"/>
  <c r="T36" i="13"/>
  <c r="AC36" i="13" s="1"/>
  <c r="S37" i="13"/>
  <c r="AR37" i="13"/>
  <c r="M33" i="14"/>
  <c r="R33" i="14" s="1"/>
  <c r="M32" i="16"/>
  <c r="M32" i="22"/>
  <c r="M32" i="15"/>
  <c r="R32" i="15" s="1"/>
  <c r="F46" i="15" l="1"/>
  <c r="G46" i="15" s="1"/>
  <c r="F47" i="15" s="1"/>
  <c r="G47" i="15" s="1"/>
  <c r="J45" i="14"/>
  <c r="AE8" i="22"/>
  <c r="AD8" i="22"/>
  <c r="B8" i="22"/>
  <c r="AP3" i="22" a="1"/>
  <c r="H10" i="5"/>
  <c r="I7" i="2" s="1"/>
  <c r="H11" i="5"/>
  <c r="L7" i="2" s="1"/>
  <c r="K15" i="5"/>
  <c r="I25" i="2" s="1"/>
  <c r="K11" i="5"/>
  <c r="I22" i="2" s="1"/>
  <c r="H15" i="5"/>
  <c r="H14" i="5"/>
  <c r="K9" i="5"/>
  <c r="I20" i="2" s="1"/>
  <c r="K6" i="5"/>
  <c r="I16" i="2" s="1"/>
  <c r="E75" i="2" s="1"/>
  <c r="K16" i="5"/>
  <c r="I26" i="2" s="1"/>
  <c r="K7" i="5"/>
  <c r="H13" i="5"/>
  <c r="O7" i="2" s="1"/>
  <c r="H7" i="5"/>
  <c r="H6" i="5"/>
  <c r="H16" i="5"/>
  <c r="K10" i="5"/>
  <c r="I21" i="2" s="1"/>
  <c r="I75" i="2" s="1"/>
  <c r="H20" i="5"/>
  <c r="H9" i="5"/>
  <c r="H12" i="5"/>
  <c r="K13" i="5"/>
  <c r="I23" i="2" s="1"/>
  <c r="K14" i="5"/>
  <c r="I24" i="2" s="1"/>
  <c r="K20" i="5"/>
  <c r="I30" i="2" s="1"/>
  <c r="U36" i="13"/>
  <c r="AD36" i="13" s="1"/>
  <c r="AT38" i="13"/>
  <c r="AB37" i="13"/>
  <c r="M39" i="13"/>
  <c r="P39" i="13" s="1"/>
  <c r="L39" i="13"/>
  <c r="O39" i="13" s="1"/>
  <c r="N39" i="13"/>
  <c r="Q39" i="13" s="1"/>
  <c r="G41" i="13"/>
  <c r="H41" i="13" s="1"/>
  <c r="I41" i="13" s="1"/>
  <c r="AQ40" i="13"/>
  <c r="J40" i="13"/>
  <c r="K40" i="13" s="1"/>
  <c r="S38" i="13"/>
  <c r="T38" i="13" s="1"/>
  <c r="AC38" i="13" s="1"/>
  <c r="AR38" i="13"/>
  <c r="AS38" i="13"/>
  <c r="AJ35" i="13"/>
  <c r="T37" i="13"/>
  <c r="F48" i="15" l="1"/>
  <c r="L47" i="15"/>
  <c r="L46" i="15"/>
  <c r="H8" i="5"/>
  <c r="K45" i="14"/>
  <c r="J46" i="14" s="1"/>
  <c r="R7" i="2"/>
  <c r="E76" i="2"/>
  <c r="E78" i="2" s="1"/>
  <c r="E79" i="2"/>
  <c r="K75" i="2"/>
  <c r="M75" i="2"/>
  <c r="R75" i="2"/>
  <c r="L75" i="2"/>
  <c r="N75" i="2"/>
  <c r="J75" i="2"/>
  <c r="H75" i="2"/>
  <c r="BS3" i="22"/>
  <c r="AY3" i="22"/>
  <c r="BA3" i="22"/>
  <c r="AZ3" i="22"/>
  <c r="BD3" i="22"/>
  <c r="BV3" i="22"/>
  <c r="AW3" i="22"/>
  <c r="BW3" i="22"/>
  <c r="BL3" i="22"/>
  <c r="BM3" i="22"/>
  <c r="BK3" i="22"/>
  <c r="CA3" i="22"/>
  <c r="BB3" i="22"/>
  <c r="BU3" i="22"/>
  <c r="AT3" i="22"/>
  <c r="AU3" i="22"/>
  <c r="BZ3" i="22"/>
  <c r="AQ3" i="22"/>
  <c r="BJ3" i="22"/>
  <c r="AP3" i="22"/>
  <c r="BQ3" i="22"/>
  <c r="BG3" i="22"/>
  <c r="BP3" i="22"/>
  <c r="BT3" i="22"/>
  <c r="BO3" i="22"/>
  <c r="BH3" i="22"/>
  <c r="BY3" i="22"/>
  <c r="AX3" i="22"/>
  <c r="AS3" i="22"/>
  <c r="BX3" i="22"/>
  <c r="BF3" i="22"/>
  <c r="AV3" i="22"/>
  <c r="BE3" i="22"/>
  <c r="BN3" i="22"/>
  <c r="CB3" i="22"/>
  <c r="BR3" i="22"/>
  <c r="AR3" i="22"/>
  <c r="BC3" i="22"/>
  <c r="CC3" i="22"/>
  <c r="BI3" i="22"/>
  <c r="I17" i="2"/>
  <c r="K8" i="5"/>
  <c r="V36" i="13"/>
  <c r="AE36" i="13" s="1"/>
  <c r="AF36" i="13" s="1"/>
  <c r="AM36" i="13" s="1"/>
  <c r="G42" i="13"/>
  <c r="H42" i="13" s="1"/>
  <c r="AQ41" i="13"/>
  <c r="J41" i="13"/>
  <c r="K41" i="13" s="1"/>
  <c r="AT39" i="13"/>
  <c r="N40" i="13"/>
  <c r="Q40" i="13" s="1"/>
  <c r="L40" i="13"/>
  <c r="O40" i="13" s="1"/>
  <c r="M40" i="13"/>
  <c r="P40" i="13" s="1"/>
  <c r="AC37" i="13"/>
  <c r="U37" i="13"/>
  <c r="AD37" i="13" s="1"/>
  <c r="AK35" i="13"/>
  <c r="S39" i="13"/>
  <c r="T39" i="13" s="1"/>
  <c r="AC39" i="13" s="1"/>
  <c r="AR39" i="13"/>
  <c r="AB38" i="13"/>
  <c r="U38" i="13"/>
  <c r="AD38" i="13" s="1"/>
  <c r="AS39" i="13"/>
  <c r="G48" i="15" l="1"/>
  <c r="K46" i="14"/>
  <c r="L46" i="14" s="1"/>
  <c r="L45" i="14"/>
  <c r="I18" i="2"/>
  <c r="F75" i="2"/>
  <c r="AJ36" i="13"/>
  <c r="AK36" i="13" s="1"/>
  <c r="S40" i="13"/>
  <c r="T40" i="13" s="1"/>
  <c r="AC40" i="13" s="1"/>
  <c r="AR40" i="13"/>
  <c r="I42" i="13"/>
  <c r="V38" i="13"/>
  <c r="AE38" i="13" s="1"/>
  <c r="AF38" i="13" s="1"/>
  <c r="M34" i="16"/>
  <c r="M34" i="15"/>
  <c r="R34" i="15" s="1"/>
  <c r="M34" i="22"/>
  <c r="M35" i="14"/>
  <c r="R35" i="14" s="1"/>
  <c r="AT40" i="13"/>
  <c r="U39" i="13"/>
  <c r="AD39" i="13" s="1"/>
  <c r="N41" i="13"/>
  <c r="L41" i="13"/>
  <c r="M41" i="13"/>
  <c r="AB39" i="13"/>
  <c r="AS40" i="13"/>
  <c r="V37" i="13"/>
  <c r="AE37" i="13" s="1"/>
  <c r="AF37" i="13" s="1"/>
  <c r="L48" i="15" l="1"/>
  <c r="L6" i="15" s="1"/>
  <c r="G6" i="15"/>
  <c r="F49" i="15"/>
  <c r="G49" i="15" s="1"/>
  <c r="L49" i="15" s="1"/>
  <c r="J47" i="14"/>
  <c r="F79" i="2"/>
  <c r="F76" i="2"/>
  <c r="AM38" i="13"/>
  <c r="AJ38" i="13"/>
  <c r="AK38" i="13" s="1"/>
  <c r="P41" i="13"/>
  <c r="AB40" i="13"/>
  <c r="G43" i="13"/>
  <c r="H43" i="13" s="1"/>
  <c r="AQ42" i="13"/>
  <c r="J42" i="13"/>
  <c r="K42" i="13" s="1"/>
  <c r="O41" i="13"/>
  <c r="Q41" i="13"/>
  <c r="AM37" i="13"/>
  <c r="AJ37" i="13"/>
  <c r="AK37" i="13" s="1"/>
  <c r="V39" i="13"/>
  <c r="AE39" i="13" s="1"/>
  <c r="AF39" i="13" s="1"/>
  <c r="U40" i="13"/>
  <c r="AD40" i="13" s="1"/>
  <c r="K47" i="14" l="1"/>
  <c r="J48" i="14" s="1"/>
  <c r="G76" i="2"/>
  <c r="F78" i="2"/>
  <c r="N42" i="13"/>
  <c r="Q42" i="13" s="1"/>
  <c r="L42" i="13"/>
  <c r="M42" i="13"/>
  <c r="AM39" i="13"/>
  <c r="AJ39" i="13"/>
  <c r="AK39" i="13" s="1"/>
  <c r="AS41" i="13"/>
  <c r="S41" i="13"/>
  <c r="AR41" i="13"/>
  <c r="V40" i="13"/>
  <c r="AE40" i="13" s="1"/>
  <c r="AF40" i="13" s="1"/>
  <c r="I43" i="13"/>
  <c r="M37" i="14"/>
  <c r="R37" i="14" s="1"/>
  <c r="M36" i="22"/>
  <c r="M36" i="15"/>
  <c r="R36" i="15" s="1"/>
  <c r="M36" i="16"/>
  <c r="M36" i="14"/>
  <c r="R36" i="14" s="1"/>
  <c r="M35" i="15"/>
  <c r="R35" i="15" s="1"/>
  <c r="M35" i="22"/>
  <c r="M35" i="16"/>
  <c r="AT41" i="13"/>
  <c r="K48" i="14" l="1"/>
  <c r="L48" i="14" s="1"/>
  <c r="L47" i="14"/>
  <c r="H76" i="2"/>
  <c r="G78" i="2"/>
  <c r="O42" i="13"/>
  <c r="S42" i="13" s="1"/>
  <c r="P42" i="13"/>
  <c r="AS42" i="13" s="1"/>
  <c r="AB41" i="13"/>
  <c r="G44" i="13"/>
  <c r="H44" i="13" s="1"/>
  <c r="I44" i="13" s="1"/>
  <c r="AQ43" i="13"/>
  <c r="J43" i="13"/>
  <c r="K43" i="13" s="1"/>
  <c r="AT42" i="13"/>
  <c r="AM40" i="13"/>
  <c r="AJ40" i="13"/>
  <c r="AK40" i="13" s="1"/>
  <c r="T41" i="13"/>
  <c r="AC41" i="13" s="1"/>
  <c r="M37" i="15"/>
  <c r="R37" i="15" s="1"/>
  <c r="M37" i="16"/>
  <c r="M37" i="22"/>
  <c r="M38" i="14"/>
  <c r="R38" i="14" s="1"/>
  <c r="J49" i="14" l="1"/>
  <c r="K49" i="14" s="1"/>
  <c r="K6" i="14" s="1"/>
  <c r="N43" i="13"/>
  <c r="M43" i="13"/>
  <c r="L43" i="13"/>
  <c r="AR42" i="13"/>
  <c r="H78" i="2"/>
  <c r="I76" i="2"/>
  <c r="G45" i="13"/>
  <c r="H45" i="13" s="1"/>
  <c r="AQ44" i="13"/>
  <c r="J44" i="13"/>
  <c r="K44" i="13" s="1"/>
  <c r="AB42" i="13"/>
  <c r="M39" i="14"/>
  <c r="R39" i="14" s="1"/>
  <c r="M38" i="16"/>
  <c r="M38" i="15"/>
  <c r="R38" i="15" s="1"/>
  <c r="M38" i="22"/>
  <c r="T42" i="13"/>
  <c r="AC42" i="13" s="1"/>
  <c r="U41" i="13"/>
  <c r="AD41" i="13" s="1"/>
  <c r="L44" i="13" l="1"/>
  <c r="N44" i="13"/>
  <c r="M44" i="13"/>
  <c r="P43" i="13"/>
  <c r="L49" i="14"/>
  <c r="L6" i="14" s="1"/>
  <c r="J50" i="14"/>
  <c r="K50" i="14" s="1"/>
  <c r="L50" i="14" s="1"/>
  <c r="Q43" i="13"/>
  <c r="O43" i="13"/>
  <c r="AR43" i="13" s="1"/>
  <c r="J76" i="2"/>
  <c r="I78" i="2"/>
  <c r="H80" i="2"/>
  <c r="H81" i="2" s="1"/>
  <c r="U42" i="13"/>
  <c r="AD42" i="13" s="1"/>
  <c r="V41" i="13"/>
  <c r="AE41" i="13" s="1"/>
  <c r="AF41" i="13" s="1"/>
  <c r="I45" i="13"/>
  <c r="P44" i="13" l="1"/>
  <c r="AS43" i="13"/>
  <c r="S43" i="13"/>
  <c r="O44" i="13"/>
  <c r="AT43" i="13"/>
  <c r="Q44" i="13"/>
  <c r="I80" i="2"/>
  <c r="I81" i="2" s="1"/>
  <c r="J78" i="2"/>
  <c r="K76" i="2"/>
  <c r="AJ41" i="13"/>
  <c r="AK41" i="13" s="1"/>
  <c r="G46" i="13"/>
  <c r="H46" i="13" s="1"/>
  <c r="AQ45" i="13"/>
  <c r="J45" i="13"/>
  <c r="K45" i="13" s="1"/>
  <c r="V42" i="13"/>
  <c r="AE42" i="13" s="1"/>
  <c r="AF42" i="13" s="1"/>
  <c r="L45" i="13" l="1"/>
  <c r="O45" i="13" s="1"/>
  <c r="N45" i="13"/>
  <c r="M45" i="13"/>
  <c r="AS44" i="13"/>
  <c r="S44" i="13"/>
  <c r="AR44" i="13"/>
  <c r="AT44" i="13"/>
  <c r="AB43" i="13"/>
  <c r="T43" i="13"/>
  <c r="L76" i="2"/>
  <c r="K78" i="2"/>
  <c r="J80" i="2"/>
  <c r="J81" i="2" s="1"/>
  <c r="AJ42" i="13"/>
  <c r="AK42" i="13" s="1"/>
  <c r="I46" i="13"/>
  <c r="P45" i="13" l="1"/>
  <c r="AS45" i="13" s="1"/>
  <c r="Q45" i="13"/>
  <c r="AT45" i="13" s="1"/>
  <c r="AC43" i="13"/>
  <c r="U43" i="13"/>
  <c r="AD43" i="13" s="1"/>
  <c r="S45" i="13"/>
  <c r="AR45" i="13"/>
  <c r="AB44" i="13"/>
  <c r="T44" i="13"/>
  <c r="K80" i="2"/>
  <c r="K81" i="2" s="1"/>
  <c r="M76" i="2"/>
  <c r="L78" i="2"/>
  <c r="G47" i="13"/>
  <c r="H47" i="13" s="1"/>
  <c r="I47" i="13" s="1"/>
  <c r="AQ46" i="13"/>
  <c r="J46" i="13"/>
  <c r="K46" i="13" s="1"/>
  <c r="M46" i="13" l="1"/>
  <c r="N46" i="13"/>
  <c r="L46" i="13"/>
  <c r="AC44" i="13"/>
  <c r="U44" i="13"/>
  <c r="AD44" i="13" s="1"/>
  <c r="V43" i="13"/>
  <c r="AE43" i="13" s="1"/>
  <c r="AF43" i="13" s="1"/>
  <c r="AB45" i="13"/>
  <c r="T45" i="13"/>
  <c r="M78" i="2"/>
  <c r="N76" i="2"/>
  <c r="L80" i="2"/>
  <c r="L81" i="2" s="1"/>
  <c r="G48" i="13"/>
  <c r="H48" i="13" s="1"/>
  <c r="I48" i="13" s="1"/>
  <c r="AQ47" i="13"/>
  <c r="J47" i="13"/>
  <c r="N78" i="2" l="1"/>
  <c r="N80" i="2" s="1"/>
  <c r="L9" i="13"/>
  <c r="O46" i="13"/>
  <c r="Q46" i="13"/>
  <c r="N9" i="13"/>
  <c r="P46" i="13"/>
  <c r="M9" i="13"/>
  <c r="V44" i="13"/>
  <c r="AE44" i="13" s="1"/>
  <c r="AF44" i="13" s="1"/>
  <c r="AJ44" i="13" s="1"/>
  <c r="AK44" i="13" s="1"/>
  <c r="AJ43" i="13"/>
  <c r="AK43" i="13" s="1"/>
  <c r="AC45" i="13"/>
  <c r="U45" i="13"/>
  <c r="AD45" i="13" s="1"/>
  <c r="M80" i="2"/>
  <c r="M81" i="2" s="1"/>
  <c r="G49" i="13"/>
  <c r="H49" i="13" s="1"/>
  <c r="I49" i="13" s="1"/>
  <c r="AQ48" i="13"/>
  <c r="J48" i="13"/>
  <c r="N81" i="2" l="1"/>
  <c r="AS46" i="13"/>
  <c r="P47" i="13"/>
  <c r="AT46" i="13"/>
  <c r="Q47" i="13"/>
  <c r="S46" i="13"/>
  <c r="O47" i="13"/>
  <c r="AR46" i="13"/>
  <c r="V45" i="13"/>
  <c r="AE45" i="13" s="1"/>
  <c r="AF45" i="13" s="1"/>
  <c r="G50" i="13"/>
  <c r="H50" i="13" s="1"/>
  <c r="I50" i="13" s="1"/>
  <c r="AQ49" i="13"/>
  <c r="J49" i="13"/>
  <c r="T46" i="13" l="1"/>
  <c r="AC46" i="13" s="1"/>
  <c r="AB46" i="13"/>
  <c r="Q48" i="13"/>
  <c r="AT47" i="13"/>
  <c r="O48" i="13"/>
  <c r="S47" i="13"/>
  <c r="AR47" i="13"/>
  <c r="P48" i="13"/>
  <c r="AS47" i="13"/>
  <c r="AJ45" i="13"/>
  <c r="AK45" i="13" s="1"/>
  <c r="AM45" i="13"/>
  <c r="G51" i="13"/>
  <c r="AQ50" i="13"/>
  <c r="J50" i="13"/>
  <c r="U46" i="13" l="1"/>
  <c r="AD46" i="13" s="1"/>
  <c r="Q49" i="13"/>
  <c r="AT48" i="13"/>
  <c r="T47" i="13"/>
  <c r="AB47" i="13"/>
  <c r="S48" i="13"/>
  <c r="AR48" i="13"/>
  <c r="O49" i="13"/>
  <c r="AS48" i="13"/>
  <c r="P49" i="13"/>
  <c r="M44" i="14"/>
  <c r="R44" i="14" s="1"/>
  <c r="M43" i="22"/>
  <c r="M43" i="16"/>
  <c r="M43" i="15"/>
  <c r="R43" i="15" s="1"/>
  <c r="H51" i="13"/>
  <c r="G9" i="13"/>
  <c r="V46" i="13" l="1"/>
  <c r="AE46" i="13" s="1"/>
  <c r="AF46" i="13" s="1"/>
  <c r="AJ46" i="13" s="1"/>
  <c r="AK46" i="13" s="1"/>
  <c r="AS49" i="13"/>
  <c r="P50" i="13"/>
  <c r="O50" i="13"/>
  <c r="O51" i="13" s="1"/>
  <c r="S49" i="13"/>
  <c r="AB49" i="13" s="1"/>
  <c r="AR49" i="13"/>
  <c r="AC47" i="13"/>
  <c r="U47" i="13"/>
  <c r="T48" i="13"/>
  <c r="AC48" i="13" s="1"/>
  <c r="AB48" i="13"/>
  <c r="AT49" i="13"/>
  <c r="Q50" i="13"/>
  <c r="H9" i="13"/>
  <c r="I51" i="13"/>
  <c r="AT50" i="13" l="1"/>
  <c r="U48" i="13"/>
  <c r="AD48" i="13" s="1"/>
  <c r="AS50" i="13"/>
  <c r="T49" i="13"/>
  <c r="AC49" i="13" s="1"/>
  <c r="Q51" i="13"/>
  <c r="P51" i="13"/>
  <c r="AD47" i="13"/>
  <c r="V47" i="13"/>
  <c r="AE47" i="13" s="1"/>
  <c r="S50" i="13"/>
  <c r="AR50" i="13"/>
  <c r="AR51" i="13" s="1"/>
  <c r="AR9" i="13" s="1"/>
  <c r="AQ51" i="13"/>
  <c r="AQ9" i="13" s="1"/>
  <c r="J51" i="13"/>
  <c r="S51" i="13"/>
  <c r="AT51" i="13" l="1"/>
  <c r="AT9" i="13" s="1"/>
  <c r="AS51" i="13"/>
  <c r="AS9" i="13" s="1"/>
  <c r="U49" i="13"/>
  <c r="AD49" i="13" s="1"/>
  <c r="V48" i="13"/>
  <c r="AE48" i="13" s="1"/>
  <c r="AF48" i="13" s="1"/>
  <c r="AM48" i="13" s="1"/>
  <c r="AF47" i="13"/>
  <c r="AM47" i="13" s="1"/>
  <c r="T50" i="13"/>
  <c r="U50" i="13" s="1"/>
  <c r="AD50" i="13" s="1"/>
  <c r="AB50" i="13"/>
  <c r="AB51" i="13"/>
  <c r="T51" i="13"/>
  <c r="AC51" i="13" s="1"/>
  <c r="V49" i="13" l="1"/>
  <c r="AE49" i="13" s="1"/>
  <c r="AF49" i="13" s="1"/>
  <c r="AJ49" i="13" s="1"/>
  <c r="AK49" i="13" s="1"/>
  <c r="AJ48" i="13"/>
  <c r="AK48" i="13" s="1"/>
  <c r="AJ47" i="13"/>
  <c r="AK47" i="13" s="1"/>
  <c r="M46" i="16"/>
  <c r="M46" i="15"/>
  <c r="R46" i="15" s="1"/>
  <c r="M46" i="22"/>
  <c r="M47" i="14"/>
  <c r="R47" i="14" s="1"/>
  <c r="AC50" i="13"/>
  <c r="V50" i="13"/>
  <c r="AE50" i="13" s="1"/>
  <c r="M45" i="16"/>
  <c r="M46" i="14"/>
  <c r="R46" i="14" s="1"/>
  <c r="M45" i="15"/>
  <c r="R45" i="15" s="1"/>
  <c r="M45" i="22"/>
  <c r="U51" i="13"/>
  <c r="AD51" i="13" s="1"/>
  <c r="AM49" i="13" l="1"/>
  <c r="M47" i="15" s="1"/>
  <c r="R47" i="15" s="1"/>
  <c r="AF50" i="13"/>
  <c r="AM50" i="13" s="1"/>
  <c r="V51" i="13"/>
  <c r="AE51" i="13" s="1"/>
  <c r="AF51" i="13" s="1"/>
  <c r="AM51" i="13" s="1"/>
  <c r="M47" i="16" l="1"/>
  <c r="M48" i="14"/>
  <c r="R48" i="14" s="1"/>
  <c r="M47" i="22"/>
  <c r="AJ50" i="13"/>
  <c r="AK50" i="13" s="1"/>
  <c r="M48" i="15"/>
  <c r="R48" i="15" s="1"/>
  <c r="M48" i="22"/>
  <c r="M48" i="16"/>
  <c r="M49" i="14"/>
  <c r="R49" i="14" s="1"/>
  <c r="AF9" i="13"/>
  <c r="AJ51" i="13"/>
  <c r="M49" i="22"/>
  <c r="M50" i="14"/>
  <c r="R50" i="14" s="1"/>
  <c r="M49" i="15"/>
  <c r="R49" i="15" s="1"/>
  <c r="M49" i="16"/>
  <c r="AJ9" i="13" l="1"/>
  <c r="AK51" i="13"/>
  <c r="AL4" i="13" s="1"/>
  <c r="AL13" i="13" l="1"/>
  <c r="AM13" i="13" s="1"/>
  <c r="M11" i="15" s="1"/>
  <c r="R11" i="15" s="1"/>
  <c r="AL30" i="13"/>
  <c r="AM30" i="13" s="1"/>
  <c r="AL46" i="13"/>
  <c r="AM46" i="13" s="1"/>
  <c r="M44" i="16" s="1"/>
  <c r="AL35" i="13"/>
  <c r="AM35" i="13" s="1"/>
  <c r="AK9" i="13"/>
  <c r="AL43" i="13"/>
  <c r="AM43" i="13" s="1"/>
  <c r="M41" i="16" s="1"/>
  <c r="AL44" i="13"/>
  <c r="AM44" i="13" s="1"/>
  <c r="AL41" i="13"/>
  <c r="AL42" i="13"/>
  <c r="AM42" i="13" s="1"/>
  <c r="M11" i="22" l="1"/>
  <c r="M12" i="14"/>
  <c r="R12" i="14" s="1"/>
  <c r="S12" i="14" s="1"/>
  <c r="T12" i="14" s="1"/>
  <c r="M11" i="16"/>
  <c r="M28" i="15"/>
  <c r="R28" i="15" s="1"/>
  <c r="M28" i="22"/>
  <c r="M28" i="16"/>
  <c r="M29" i="14"/>
  <c r="R29" i="14" s="1"/>
  <c r="S11" i="15"/>
  <c r="T11" i="15" s="1"/>
  <c r="M44" i="15"/>
  <c r="R44" i="15" s="1"/>
  <c r="M44" i="22"/>
  <c r="M45" i="14"/>
  <c r="R45" i="14" s="1"/>
  <c r="M33" i="16"/>
  <c r="M33" i="22"/>
  <c r="M34" i="14"/>
  <c r="R34" i="14" s="1"/>
  <c r="M33" i="15"/>
  <c r="R33" i="15" s="1"/>
  <c r="M41" i="15"/>
  <c r="R41" i="15" s="1"/>
  <c r="M41" i="22"/>
  <c r="M42" i="14"/>
  <c r="R42" i="14" s="1"/>
  <c r="M42" i="16"/>
  <c r="M42" i="22"/>
  <c r="M43" i="14"/>
  <c r="R43" i="14" s="1"/>
  <c r="M42" i="15"/>
  <c r="R42" i="15" s="1"/>
  <c r="AL9" i="13"/>
  <c r="AM41" i="13"/>
  <c r="M39" i="16" s="1"/>
  <c r="M40" i="16"/>
  <c r="M40" i="15"/>
  <c r="R40" i="15" s="1"/>
  <c r="M41" i="14"/>
  <c r="R41" i="14" s="1"/>
  <c r="M40" i="22"/>
  <c r="V11" i="15" l="1"/>
  <c r="X11" i="15" s="1"/>
  <c r="V12" i="14"/>
  <c r="S13" i="14" s="1"/>
  <c r="T13" i="14" s="1"/>
  <c r="U11" i="15"/>
  <c r="U12" i="14"/>
  <c r="AM9" i="13"/>
  <c r="M40" i="14"/>
  <c r="M6" i="14" s="1"/>
  <c r="M39" i="15"/>
  <c r="R39" i="15" s="1"/>
  <c r="M39" i="22"/>
  <c r="M7" i="22" s="1"/>
  <c r="M7" i="16"/>
  <c r="M17" i="5" a="1"/>
  <c r="M8" i="16"/>
  <c r="S12" i="15" l="1"/>
  <c r="T12" i="15" s="1"/>
  <c r="X12" i="14"/>
  <c r="O11" i="22" s="1"/>
  <c r="V13" i="14"/>
  <c r="U13" i="14"/>
  <c r="N11" i="16"/>
  <c r="N11" i="22"/>
  <c r="M6" i="15"/>
  <c r="R40" i="14"/>
  <c r="R6" i="15"/>
  <c r="M17" i="5"/>
  <c r="P17" i="5"/>
  <c r="J101" i="5" s="1"/>
  <c r="AA17" i="5"/>
  <c r="AY17" i="5"/>
  <c r="AZ17" i="5"/>
  <c r="AU17" i="5"/>
  <c r="V17" i="5"/>
  <c r="AX17" i="5"/>
  <c r="X17" i="5"/>
  <c r="AK17" i="5"/>
  <c r="AO17" i="5"/>
  <c r="R17" i="5"/>
  <c r="L101" i="5" s="1"/>
  <c r="W17" i="5"/>
  <c r="Q17" i="5"/>
  <c r="K101" i="5" s="1"/>
  <c r="AD17" i="5"/>
  <c r="S17" i="5"/>
  <c r="M101" i="5" s="1"/>
  <c r="AP17" i="5"/>
  <c r="AQ17" i="5"/>
  <c r="AN17" i="5"/>
  <c r="T17" i="5"/>
  <c r="N101" i="5" s="1"/>
  <c r="U17" i="5"/>
  <c r="AI17" i="5"/>
  <c r="AB17" i="5"/>
  <c r="Z17" i="5"/>
  <c r="Y17" i="5"/>
  <c r="AJ17" i="5"/>
  <c r="O17" i="5"/>
  <c r="I101" i="5" s="1"/>
  <c r="AM17" i="5"/>
  <c r="AS17" i="5"/>
  <c r="N17" i="5"/>
  <c r="H101" i="5" s="1"/>
  <c r="AE17" i="5"/>
  <c r="AW17" i="5"/>
  <c r="AR17" i="5"/>
  <c r="AV17" i="5"/>
  <c r="AG17" i="5"/>
  <c r="AF17" i="5"/>
  <c r="AH17" i="5"/>
  <c r="AT17" i="5"/>
  <c r="AL17" i="5"/>
  <c r="AC17" i="5"/>
  <c r="V12" i="15" l="1"/>
  <c r="X12" i="15" s="1"/>
  <c r="U12" i="15"/>
  <c r="O11" i="16"/>
  <c r="P11" i="16" s="1"/>
  <c r="Q11" i="16" s="1"/>
  <c r="T11" i="16" s="1"/>
  <c r="U11" i="16" s="1"/>
  <c r="X13" i="14"/>
  <c r="S14" i="14"/>
  <c r="T14" i="14" s="1"/>
  <c r="P11" i="22"/>
  <c r="Q11" i="22" s="1"/>
  <c r="R6" i="14"/>
  <c r="G101" i="5"/>
  <c r="H17" i="5"/>
  <c r="K17" i="5"/>
  <c r="G17" i="5"/>
  <c r="AB101" i="5"/>
  <c r="U101" i="5"/>
  <c r="AE101" i="5"/>
  <c r="Z101" i="5"/>
  <c r="AA101" i="5"/>
  <c r="Y101" i="5"/>
  <c r="X101" i="5"/>
  <c r="AC101" i="5"/>
  <c r="Q101" i="5"/>
  <c r="AD101" i="5"/>
  <c r="T101" i="5"/>
  <c r="O101" i="5"/>
  <c r="S101" i="5"/>
  <c r="R101" i="5"/>
  <c r="W101" i="5"/>
  <c r="AF101" i="5"/>
  <c r="V101" i="5"/>
  <c r="P101" i="5"/>
  <c r="S13" i="15" l="1"/>
  <c r="T13" i="15" s="1"/>
  <c r="U14" i="14"/>
  <c r="V14" i="14"/>
  <c r="X14" i="14" s="1"/>
  <c r="N12" i="16"/>
  <c r="N12" i="22"/>
  <c r="O12" i="22"/>
  <c r="O12" i="16"/>
  <c r="J17" i="5"/>
  <c r="I27" i="2"/>
  <c r="U13" i="15" l="1"/>
  <c r="V13" i="15"/>
  <c r="X13" i="15" s="1"/>
  <c r="S15" i="14"/>
  <c r="T15" i="14" s="1"/>
  <c r="O13" i="22"/>
  <c r="O13" i="16"/>
  <c r="P12" i="22"/>
  <c r="Q12" i="22" s="1"/>
  <c r="P12" i="16"/>
  <c r="Q12" i="16" s="1"/>
  <c r="T12" i="16" s="1"/>
  <c r="U12" i="16" s="1"/>
  <c r="D71" i="3"/>
  <c r="D64" i="3"/>
  <c r="O75" i="2"/>
  <c r="O76" i="2" s="1"/>
  <c r="S14" i="15" l="1"/>
  <c r="T14" i="15" s="1"/>
  <c r="V15" i="14"/>
  <c r="X15" i="14" s="1"/>
  <c r="U15" i="14"/>
  <c r="N13" i="16"/>
  <c r="P13" i="16" s="1"/>
  <c r="Q13" i="16" s="1"/>
  <c r="T13" i="16" s="1"/>
  <c r="U13" i="16" s="1"/>
  <c r="N13" i="22"/>
  <c r="P13" i="22" s="1"/>
  <c r="Q13" i="22" s="1"/>
  <c r="O78" i="2"/>
  <c r="V14" i="15" l="1"/>
  <c r="X14" i="15" s="1"/>
  <c r="S16" i="14"/>
  <c r="T16" i="14" s="1"/>
  <c r="U14" i="15"/>
  <c r="O14" i="16"/>
  <c r="O14" i="22"/>
  <c r="O80" i="2"/>
  <c r="O81" i="2" s="1"/>
  <c r="V16" i="14" l="1"/>
  <c r="X16" i="14" s="1"/>
  <c r="O15" i="16" s="1"/>
  <c r="S15" i="15"/>
  <c r="T15" i="15" s="1"/>
  <c r="U16" i="14"/>
  <c r="N14" i="22"/>
  <c r="P14" i="22" s="1"/>
  <c r="Q14" i="22" s="1"/>
  <c r="N14" i="16"/>
  <c r="P14" i="16" s="1"/>
  <c r="Q14" i="16" s="1"/>
  <c r="T14" i="16" s="1"/>
  <c r="O15" i="22" l="1"/>
  <c r="S17" i="14"/>
  <c r="T17" i="14" s="1"/>
  <c r="V15" i="15"/>
  <c r="X15" i="15" s="1"/>
  <c r="U15" i="15"/>
  <c r="U14" i="16"/>
  <c r="V17" i="14" l="1"/>
  <c r="X17" i="14" s="1"/>
  <c r="O16" i="22" s="1"/>
  <c r="U17" i="14"/>
  <c r="S16" i="15"/>
  <c r="T16" i="15" s="1"/>
  <c r="N15" i="16"/>
  <c r="P15" i="16" s="1"/>
  <c r="Q15" i="16" s="1"/>
  <c r="T15" i="16" s="1"/>
  <c r="N15" i="22"/>
  <c r="P15" i="22" s="1"/>
  <c r="Q15" i="22" s="1"/>
  <c r="O16" i="16" l="1"/>
  <c r="S18" i="14"/>
  <c r="T18" i="14" s="1"/>
  <c r="U16" i="15"/>
  <c r="V16" i="15"/>
  <c r="X16" i="15" s="1"/>
  <c r="U15" i="16"/>
  <c r="U18" i="14" l="1"/>
  <c r="V18" i="14"/>
  <c r="X18" i="14" s="1"/>
  <c r="S17" i="15"/>
  <c r="T17" i="15" s="1"/>
  <c r="N16" i="16"/>
  <c r="P16" i="16" s="1"/>
  <c r="Q16" i="16" s="1"/>
  <c r="T16" i="16" s="1"/>
  <c r="N16" i="22"/>
  <c r="P16" i="22" s="1"/>
  <c r="Q16" i="22" s="1"/>
  <c r="S19" i="14" l="1"/>
  <c r="T19" i="14" s="1"/>
  <c r="O17" i="16"/>
  <c r="O17" i="22"/>
  <c r="U17" i="15"/>
  <c r="V17" i="15"/>
  <c r="X17" i="15" s="1"/>
  <c r="N17" i="22" s="1"/>
  <c r="U16" i="16"/>
  <c r="P17" i="22" l="1"/>
  <c r="Q17" i="22" s="1"/>
  <c r="S18" i="15"/>
  <c r="T18" i="15" s="1"/>
  <c r="U19" i="14"/>
  <c r="V19" i="14"/>
  <c r="N17" i="16"/>
  <c r="P17" i="16" s="1"/>
  <c r="Q17" i="16" s="1"/>
  <c r="T17" i="16" s="1"/>
  <c r="U17" i="16" s="1"/>
  <c r="V18" i="15" l="1"/>
  <c r="X18" i="15" s="1"/>
  <c r="N18" i="16" s="1"/>
  <c r="U18" i="15"/>
  <c r="X19" i="14"/>
  <c r="S20" i="14"/>
  <c r="T20" i="14" s="1"/>
  <c r="N18" i="22" l="1"/>
  <c r="S19" i="15"/>
  <c r="U19" i="15" s="1"/>
  <c r="O18" i="22"/>
  <c r="O18" i="16"/>
  <c r="P18" i="16" s="1"/>
  <c r="Q18" i="16" s="1"/>
  <c r="T18" i="16" s="1"/>
  <c r="U18" i="16" s="1"/>
  <c r="V20" i="14"/>
  <c r="U20" i="14"/>
  <c r="P18" i="22" l="1"/>
  <c r="Q18" i="22" s="1"/>
  <c r="T19" i="15"/>
  <c r="V19" i="15"/>
  <c r="X20" i="14"/>
  <c r="S21" i="14"/>
  <c r="X19" i="15" l="1"/>
  <c r="S20" i="15"/>
  <c r="O19" i="16"/>
  <c r="O19" i="22"/>
  <c r="T21" i="14"/>
  <c r="U21" i="14"/>
  <c r="V21" i="14"/>
  <c r="T20" i="15" l="1"/>
  <c r="U20" i="15"/>
  <c r="V20" i="15"/>
  <c r="N19" i="22"/>
  <c r="P19" i="22" s="1"/>
  <c r="Q19" i="22" s="1"/>
  <c r="N19" i="16"/>
  <c r="P19" i="16" s="1"/>
  <c r="Q19" i="16" s="1"/>
  <c r="T19" i="16" s="1"/>
  <c r="U19" i="16" s="1"/>
  <c r="X21" i="14"/>
  <c r="S22" i="14"/>
  <c r="V22" i="14" s="1"/>
  <c r="X20" i="15" l="1"/>
  <c r="S21" i="15"/>
  <c r="X22" i="14"/>
  <c r="O21" i="22" s="1"/>
  <c r="T22" i="14"/>
  <c r="S23" i="14" s="1"/>
  <c r="T23" i="14" s="1"/>
  <c r="U22" i="14"/>
  <c r="O20" i="16"/>
  <c r="O20" i="22"/>
  <c r="T21" i="15" l="1"/>
  <c r="U21" i="15"/>
  <c r="V21" i="15"/>
  <c r="N20" i="22"/>
  <c r="P20" i="22" s="1"/>
  <c r="Q20" i="22" s="1"/>
  <c r="N20" i="16"/>
  <c r="P20" i="16" s="1"/>
  <c r="Q20" i="16" s="1"/>
  <c r="T20" i="16" s="1"/>
  <c r="U20" i="16" s="1"/>
  <c r="O21" i="16"/>
  <c r="V23" i="14"/>
  <c r="U23" i="14"/>
  <c r="S22" i="15" l="1"/>
  <c r="T22" i="15" s="1"/>
  <c r="X21" i="15"/>
  <c r="X23" i="14"/>
  <c r="S24" i="14"/>
  <c r="T24" i="14" s="1"/>
  <c r="V24" i="14" l="1"/>
  <c r="S25" i="14" s="1"/>
  <c r="T25" i="14" s="1"/>
  <c r="V22" i="15"/>
  <c r="X22" i="15" s="1"/>
  <c r="N21" i="22"/>
  <c r="P21" i="22" s="1"/>
  <c r="Q21" i="22" s="1"/>
  <c r="N21" i="16"/>
  <c r="P21" i="16" s="1"/>
  <c r="Q21" i="16" s="1"/>
  <c r="T21" i="16" s="1"/>
  <c r="U21" i="16" s="1"/>
  <c r="U22" i="15"/>
  <c r="O22" i="22"/>
  <c r="O22" i="16"/>
  <c r="U24" i="14"/>
  <c r="S23" i="15" l="1"/>
  <c r="T23" i="15" s="1"/>
  <c r="X24" i="14"/>
  <c r="O23" i="22" s="1"/>
  <c r="N22" i="16"/>
  <c r="P22" i="16" s="1"/>
  <c r="Q22" i="16" s="1"/>
  <c r="T22" i="16" s="1"/>
  <c r="U22" i="16" s="1"/>
  <c r="N22" i="22"/>
  <c r="P22" i="22" s="1"/>
  <c r="Q22" i="22" s="1"/>
  <c r="U25" i="14"/>
  <c r="V25" i="14"/>
  <c r="V23" i="15" l="1"/>
  <c r="X23" i="15" s="1"/>
  <c r="U23" i="15"/>
  <c r="O23" i="16"/>
  <c r="X25" i="14"/>
  <c r="S26" i="14"/>
  <c r="T26" i="14" s="1"/>
  <c r="S24" i="15" l="1"/>
  <c r="V24" i="15" s="1"/>
  <c r="X24" i="15" s="1"/>
  <c r="N24" i="22" s="1"/>
  <c r="N23" i="16"/>
  <c r="P23" i="16" s="1"/>
  <c r="Q23" i="16" s="1"/>
  <c r="T23" i="16" s="1"/>
  <c r="U23" i="16" s="1"/>
  <c r="N23" i="22"/>
  <c r="P23" i="22" s="1"/>
  <c r="Q23" i="22" s="1"/>
  <c r="U26" i="14"/>
  <c r="V26" i="14"/>
  <c r="S27" i="14" s="1"/>
  <c r="O24" i="22"/>
  <c r="O24" i="16"/>
  <c r="I35" i="2"/>
  <c r="P24" i="22" l="1"/>
  <c r="Q24" i="22" s="1"/>
  <c r="N24" i="16"/>
  <c r="P24" i="16" s="1"/>
  <c r="Q24" i="16" s="1"/>
  <c r="T24" i="16" s="1"/>
  <c r="U24" i="16" s="1"/>
  <c r="U24" i="15"/>
  <c r="T24" i="15"/>
  <c r="S25" i="15" s="1"/>
  <c r="T25" i="15" s="1"/>
  <c r="X26" i="14"/>
  <c r="O25" i="16" s="1"/>
  <c r="T27" i="14"/>
  <c r="U27" i="14"/>
  <c r="V27" i="14"/>
  <c r="G12" i="28"/>
  <c r="G32" i="28"/>
  <c r="G17" i="28"/>
  <c r="G22" i="28"/>
  <c r="G27" i="28"/>
  <c r="G7" i="28"/>
  <c r="G37" i="28"/>
  <c r="V25" i="15" l="1"/>
  <c r="X25" i="15" s="1"/>
  <c r="N25" i="22" s="1"/>
  <c r="U25" i="15"/>
  <c r="O25" i="22"/>
  <c r="X27" i="14"/>
  <c r="S28" i="14"/>
  <c r="N25" i="16" l="1"/>
  <c r="P25" i="16" s="1"/>
  <c r="Q25" i="16" s="1"/>
  <c r="T25" i="16" s="1"/>
  <c r="U25" i="16" s="1"/>
  <c r="P25" i="22"/>
  <c r="Q25" i="22" s="1"/>
  <c r="S26" i="15"/>
  <c r="T26" i="15" s="1"/>
  <c r="O26" i="22"/>
  <c r="O26" i="16"/>
  <c r="T28" i="14"/>
  <c r="U28" i="14"/>
  <c r="V28" i="14"/>
  <c r="U26" i="15" l="1"/>
  <c r="V26" i="15"/>
  <c r="X26" i="15" s="1"/>
  <c r="N26" i="16" s="1"/>
  <c r="P26" i="16" s="1"/>
  <c r="Q26" i="16" s="1"/>
  <c r="T26" i="16" s="1"/>
  <c r="U26" i="16" s="1"/>
  <c r="S29" i="14"/>
  <c r="X28" i="14"/>
  <c r="S27" i="15" l="1"/>
  <c r="V27" i="15" s="1"/>
  <c r="X27" i="15" s="1"/>
  <c r="N27" i="22" s="1"/>
  <c r="N26" i="22"/>
  <c r="P26" i="22" s="1"/>
  <c r="Q26" i="22" s="1"/>
  <c r="O27" i="22"/>
  <c r="O27" i="16"/>
  <c r="T29" i="14"/>
  <c r="V29" i="14"/>
  <c r="U29" i="14"/>
  <c r="T27" i="15" l="1"/>
  <c r="S28" i="15" s="1"/>
  <c r="T28" i="15" s="1"/>
  <c r="U27" i="15"/>
  <c r="N27" i="16"/>
  <c r="P27" i="16" s="1"/>
  <c r="Q27" i="16" s="1"/>
  <c r="T27" i="16" s="1"/>
  <c r="U27" i="16" s="1"/>
  <c r="P27" i="22"/>
  <c r="Q27" i="22" s="1"/>
  <c r="X29" i="14"/>
  <c r="S30" i="14"/>
  <c r="U28" i="15" l="1"/>
  <c r="V28" i="15"/>
  <c r="X28" i="15" s="1"/>
  <c r="N28" i="22" s="1"/>
  <c r="T30" i="14"/>
  <c r="U30" i="14"/>
  <c r="V30" i="14"/>
  <c r="O28" i="22"/>
  <c r="O28" i="16"/>
  <c r="S29" i="15" l="1"/>
  <c r="T29" i="15" s="1"/>
  <c r="N28" i="16"/>
  <c r="P28" i="16" s="1"/>
  <c r="Q28" i="16" s="1"/>
  <c r="T28" i="16" s="1"/>
  <c r="U28" i="16" s="1"/>
  <c r="P28" i="22"/>
  <c r="Q28" i="22" s="1"/>
  <c r="X30" i="14"/>
  <c r="S31" i="14"/>
  <c r="T31" i="14" s="1"/>
  <c r="V29" i="15" l="1"/>
  <c r="X29" i="15" s="1"/>
  <c r="N29" i="22" s="1"/>
  <c r="U29" i="15"/>
  <c r="V31" i="14"/>
  <c r="X31" i="14" s="1"/>
  <c r="O30" i="22" s="1"/>
  <c r="O29" i="16"/>
  <c r="O29" i="22"/>
  <c r="U31" i="14"/>
  <c r="S30" i="15" l="1"/>
  <c r="V30" i="15" s="1"/>
  <c r="X30" i="15" s="1"/>
  <c r="N30" i="22" s="1"/>
  <c r="P30" i="22" s="1"/>
  <c r="Q30" i="22" s="1"/>
  <c r="P29" i="22"/>
  <c r="Q29" i="22" s="1"/>
  <c r="N29" i="16"/>
  <c r="P29" i="16" s="1"/>
  <c r="Q29" i="16" s="1"/>
  <c r="T29" i="16" s="1"/>
  <c r="U29" i="16" s="1"/>
  <c r="O30" i="16"/>
  <c r="S32" i="14"/>
  <c r="U32" i="14" s="1"/>
  <c r="N30" i="16" l="1"/>
  <c r="P30" i="16" s="1"/>
  <c r="Q30" i="16" s="1"/>
  <c r="T30" i="16" s="1"/>
  <c r="U30" i="16" s="1"/>
  <c r="T30" i="15"/>
  <c r="S31" i="15" s="1"/>
  <c r="T31" i="15" s="1"/>
  <c r="U30" i="15"/>
  <c r="T32" i="14"/>
  <c r="V32" i="14"/>
  <c r="U31" i="15" l="1"/>
  <c r="V31" i="15"/>
  <c r="X31" i="15" s="1"/>
  <c r="N31" i="22" s="1"/>
  <c r="S33" i="14"/>
  <c r="X32" i="14"/>
  <c r="S32" i="15" l="1"/>
  <c r="T32" i="15" s="1"/>
  <c r="N31" i="16"/>
  <c r="O31" i="22"/>
  <c r="P31" i="22" s="1"/>
  <c r="Q31" i="22" s="1"/>
  <c r="O31" i="16"/>
  <c r="U33" i="14"/>
  <c r="T33" i="14"/>
  <c r="V33" i="14"/>
  <c r="P31" i="16" l="1"/>
  <c r="Q31" i="16" s="1"/>
  <c r="T31" i="16" s="1"/>
  <c r="U31" i="16" s="1"/>
  <c r="U32" i="15"/>
  <c r="V32" i="15"/>
  <c r="X32" i="15" s="1"/>
  <c r="N32" i="16" s="1"/>
  <c r="S34" i="14"/>
  <c r="X33" i="14"/>
  <c r="N32" i="22" l="1"/>
  <c r="S33" i="15"/>
  <c r="V33" i="15" s="1"/>
  <c r="X33" i="15" s="1"/>
  <c r="N33" i="22" s="1"/>
  <c r="O32" i="22"/>
  <c r="O32" i="16"/>
  <c r="P32" i="16" s="1"/>
  <c r="Q32" i="16" s="1"/>
  <c r="T32" i="16" s="1"/>
  <c r="U32" i="16" s="1"/>
  <c r="U34" i="14"/>
  <c r="V34" i="14"/>
  <c r="T34" i="14"/>
  <c r="T33" i="15" l="1"/>
  <c r="S34" i="15" s="1"/>
  <c r="T34" i="15" s="1"/>
  <c r="U33" i="15"/>
  <c r="P32" i="22"/>
  <c r="Q32" i="22" s="1"/>
  <c r="N33" i="16"/>
  <c r="S35" i="14"/>
  <c r="T35" i="14" s="1"/>
  <c r="X34" i="14"/>
  <c r="U34" i="15" l="1"/>
  <c r="V34" i="15"/>
  <c r="S35" i="15" s="1"/>
  <c r="T35" i="15" s="1"/>
  <c r="V35" i="14"/>
  <c r="O33" i="22"/>
  <c r="P33" i="22" s="1"/>
  <c r="Q33" i="22" s="1"/>
  <c r="O33" i="16"/>
  <c r="P33" i="16" s="1"/>
  <c r="Q33" i="16" s="1"/>
  <c r="T33" i="16" s="1"/>
  <c r="U33" i="16" s="1"/>
  <c r="U35" i="14"/>
  <c r="U35" i="15" l="1"/>
  <c r="V35" i="15"/>
  <c r="X35" i="15" s="1"/>
  <c r="N35" i="22" s="1"/>
  <c r="X34" i="15"/>
  <c r="N34" i="16" s="1"/>
  <c r="X35" i="14"/>
  <c r="S36" i="14"/>
  <c r="N35" i="16" l="1"/>
  <c r="S36" i="15"/>
  <c r="T36" i="15" s="1"/>
  <c r="N34" i="22"/>
  <c r="T36" i="14"/>
  <c r="V36" i="14"/>
  <c r="U36" i="14"/>
  <c r="O34" i="16"/>
  <c r="P34" i="16" s="1"/>
  <c r="Q34" i="16" s="1"/>
  <c r="T34" i="16" s="1"/>
  <c r="U34" i="16" s="1"/>
  <c r="O34" i="22"/>
  <c r="P34" i="22" l="1"/>
  <c r="Q34" i="22" s="1"/>
  <c r="V36" i="15"/>
  <c r="X36" i="15" s="1"/>
  <c r="N36" i="16" s="1"/>
  <c r="U36" i="15"/>
  <c r="S37" i="14"/>
  <c r="X36" i="14"/>
  <c r="N36" i="22" l="1"/>
  <c r="S37" i="15"/>
  <c r="T37" i="15" s="1"/>
  <c r="O35" i="16"/>
  <c r="P35" i="16" s="1"/>
  <c r="Q35" i="16" s="1"/>
  <c r="T35" i="16" s="1"/>
  <c r="U35" i="16" s="1"/>
  <c r="O35" i="22"/>
  <c r="P35" i="22" s="1"/>
  <c r="Q35" i="22" s="1"/>
  <c r="V37" i="14"/>
  <c r="U37" i="14"/>
  <c r="T37" i="14"/>
  <c r="U37" i="15" l="1"/>
  <c r="V37" i="15"/>
  <c r="S38" i="15" s="1"/>
  <c r="T38" i="15" s="1"/>
  <c r="X37" i="14"/>
  <c r="S38" i="14"/>
  <c r="X37" i="15" l="1"/>
  <c r="N37" i="16" s="1"/>
  <c r="U38" i="15"/>
  <c r="V38" i="15"/>
  <c r="X38" i="15" s="1"/>
  <c r="N38" i="22" s="1"/>
  <c r="T38" i="14"/>
  <c r="V38" i="14"/>
  <c r="U38" i="14"/>
  <c r="O36" i="22"/>
  <c r="P36" i="22" s="1"/>
  <c r="Q36" i="22" s="1"/>
  <c r="O36" i="16"/>
  <c r="P36" i="16" s="1"/>
  <c r="Q36" i="16" s="1"/>
  <c r="T36" i="16" s="1"/>
  <c r="U36" i="16" s="1"/>
  <c r="N37" i="22" l="1"/>
  <c r="S39" i="15"/>
  <c r="T39" i="15" s="1"/>
  <c r="N38" i="16"/>
  <c r="X38" i="14"/>
  <c r="S39" i="14"/>
  <c r="U39" i="15" l="1"/>
  <c r="V39" i="15"/>
  <c r="X39" i="15" s="1"/>
  <c r="N39" i="22" s="1"/>
  <c r="T39" i="14"/>
  <c r="V39" i="14"/>
  <c r="U39" i="14"/>
  <c r="O37" i="16"/>
  <c r="P37" i="16" s="1"/>
  <c r="Q37" i="16" s="1"/>
  <c r="T37" i="16" s="1"/>
  <c r="O37" i="22"/>
  <c r="P37" i="22" s="1"/>
  <c r="Q37" i="22" s="1"/>
  <c r="S40" i="15" l="1"/>
  <c r="T40" i="15" s="1"/>
  <c r="N39" i="16"/>
  <c r="U37" i="16"/>
  <c r="X39" i="14"/>
  <c r="S40" i="14"/>
  <c r="U40" i="15" l="1"/>
  <c r="V40" i="15"/>
  <c r="X40" i="15" s="1"/>
  <c r="N40" i="22" s="1"/>
  <c r="T40" i="14"/>
  <c r="U40" i="14"/>
  <c r="V40" i="14"/>
  <c r="O38" i="16"/>
  <c r="P38" i="16" s="1"/>
  <c r="Q38" i="16" s="1"/>
  <c r="T38" i="16" s="1"/>
  <c r="U38" i="16" s="1"/>
  <c r="O38" i="22"/>
  <c r="P38" i="22" s="1"/>
  <c r="Q38" i="22" s="1"/>
  <c r="N40" i="16" l="1"/>
  <c r="S41" i="15"/>
  <c r="T41" i="15" s="1"/>
  <c r="X40" i="14"/>
  <c r="S41" i="14"/>
  <c r="U41" i="15" l="1"/>
  <c r="V41" i="15"/>
  <c r="S42" i="15" s="1"/>
  <c r="T42" i="15" s="1"/>
  <c r="V41" i="14"/>
  <c r="X41" i="14" s="1"/>
  <c r="U41" i="14"/>
  <c r="T41" i="14"/>
  <c r="O39" i="22"/>
  <c r="P39" i="22" s="1"/>
  <c r="Q39" i="22" s="1"/>
  <c r="O39" i="16"/>
  <c r="P39" i="16" s="1"/>
  <c r="Q39" i="16" s="1"/>
  <c r="T39" i="16" s="1"/>
  <c r="U39" i="16" s="1"/>
  <c r="V42" i="15" l="1"/>
  <c r="X42" i="15" s="1"/>
  <c r="N42" i="16" s="1"/>
  <c r="X41" i="15"/>
  <c r="N41" i="16" s="1"/>
  <c r="U42" i="15"/>
  <c r="S42" i="14"/>
  <c r="T42" i="14" s="1"/>
  <c r="O40" i="22"/>
  <c r="P40" i="22" s="1"/>
  <c r="Q40" i="22" s="1"/>
  <c r="O40" i="16"/>
  <c r="P40" i="16" s="1"/>
  <c r="Q40" i="16" s="1"/>
  <c r="T40" i="16" s="1"/>
  <c r="U40" i="16" s="1"/>
  <c r="N41" i="22" l="1"/>
  <c r="N42" i="22"/>
  <c r="S43" i="15"/>
  <c r="T43" i="15" s="1"/>
  <c r="V42" i="14"/>
  <c r="X42" i="14" s="1"/>
  <c r="U42" i="14"/>
  <c r="V43" i="15" l="1"/>
  <c r="X43" i="15" s="1"/>
  <c r="N43" i="16" s="1"/>
  <c r="U43" i="15"/>
  <c r="S43" i="14"/>
  <c r="U43" i="14" s="1"/>
  <c r="O41" i="16"/>
  <c r="P41" i="16" s="1"/>
  <c r="Q41" i="16" s="1"/>
  <c r="T41" i="16" s="1"/>
  <c r="U41" i="16" s="1"/>
  <c r="O41" i="22"/>
  <c r="P41" i="22" s="1"/>
  <c r="Q41" i="22" s="1"/>
  <c r="N43" i="22" l="1"/>
  <c r="S44" i="15"/>
  <c r="T44" i="15" s="1"/>
  <c r="V43" i="14"/>
  <c r="X43" i="14" s="1"/>
  <c r="T43" i="14"/>
  <c r="U44" i="15" l="1"/>
  <c r="V44" i="15"/>
  <c r="X44" i="15" s="1"/>
  <c r="N44" i="16" s="1"/>
  <c r="S44" i="14"/>
  <c r="V44" i="14" s="1"/>
  <c r="O42" i="22"/>
  <c r="P42" i="22" s="1"/>
  <c r="Q42" i="22" s="1"/>
  <c r="O42" i="16"/>
  <c r="P42" i="16" s="1"/>
  <c r="Q42" i="16" s="1"/>
  <c r="T42" i="16" s="1"/>
  <c r="U42" i="16" s="1"/>
  <c r="N44" i="22" l="1"/>
  <c r="S45" i="15"/>
  <c r="T45" i="15" s="1"/>
  <c r="T44" i="14"/>
  <c r="S45" i="14" s="1"/>
  <c r="U44" i="14"/>
  <c r="X44" i="14"/>
  <c r="U45" i="15" l="1"/>
  <c r="V45" i="15"/>
  <c r="X45" i="15" s="1"/>
  <c r="N45" i="16" s="1"/>
  <c r="T45" i="14"/>
  <c r="U45" i="14"/>
  <c r="O43" i="22"/>
  <c r="P43" i="22" s="1"/>
  <c r="Q43" i="22" s="1"/>
  <c r="O43" i="16"/>
  <c r="P43" i="16" s="1"/>
  <c r="Q43" i="16" s="1"/>
  <c r="T43" i="16" s="1"/>
  <c r="U43" i="16" s="1"/>
  <c r="V45" i="14"/>
  <c r="N45" i="22" l="1"/>
  <c r="S46" i="15"/>
  <c r="T46" i="15" s="1"/>
  <c r="S46" i="14"/>
  <c r="X45" i="14"/>
  <c r="V46" i="15" l="1"/>
  <c r="X46" i="15" s="1"/>
  <c r="N46" i="22" s="1"/>
  <c r="U46" i="15"/>
  <c r="T46" i="14"/>
  <c r="V46" i="14"/>
  <c r="U46" i="14"/>
  <c r="O44" i="22"/>
  <c r="P44" i="22" s="1"/>
  <c r="Q44" i="22" s="1"/>
  <c r="O44" i="16"/>
  <c r="P44" i="16" s="1"/>
  <c r="Q44" i="16" s="1"/>
  <c r="T44" i="16" s="1"/>
  <c r="U44" i="16" s="1"/>
  <c r="S47" i="15" l="1"/>
  <c r="T47" i="15" s="1"/>
  <c r="N46" i="16"/>
  <c r="V47" i="15"/>
  <c r="S48" i="15" s="1"/>
  <c r="T48" i="15" s="1"/>
  <c r="X46" i="14"/>
  <c r="S47" i="14"/>
  <c r="U47" i="15" l="1"/>
  <c r="U48" i="15" s="1"/>
  <c r="S6" i="15"/>
  <c r="X47" i="15"/>
  <c r="N47" i="22" s="1"/>
  <c r="T47" i="14"/>
  <c r="V47" i="14"/>
  <c r="U47" i="14"/>
  <c r="O45" i="22"/>
  <c r="P45" i="22" s="1"/>
  <c r="Q45" i="22" s="1"/>
  <c r="O45" i="16"/>
  <c r="P45" i="16" s="1"/>
  <c r="Q45" i="16" s="1"/>
  <c r="T45" i="16" s="1"/>
  <c r="U45" i="16" s="1"/>
  <c r="V48" i="15" l="1"/>
  <c r="X48" i="15" s="1"/>
  <c r="N48" i="22" s="1"/>
  <c r="N47" i="16"/>
  <c r="N48" i="16"/>
  <c r="V6" i="15"/>
  <c r="S49" i="15"/>
  <c r="T49" i="15" s="1"/>
  <c r="X47" i="14"/>
  <c r="S48" i="14"/>
  <c r="U49" i="15" l="1"/>
  <c r="V49" i="15"/>
  <c r="X49" i="15" s="1"/>
  <c r="N49" i="22" s="1"/>
  <c r="N7" i="22" s="1"/>
  <c r="O46" i="16"/>
  <c r="P46" i="16" s="1"/>
  <c r="Q46" i="16" s="1"/>
  <c r="T46" i="16" s="1"/>
  <c r="U46" i="16" s="1"/>
  <c r="O46" i="22"/>
  <c r="P46" i="22" s="1"/>
  <c r="Q46" i="22" s="1"/>
  <c r="T48" i="14"/>
  <c r="V48" i="14"/>
  <c r="U48" i="14"/>
  <c r="N49" i="16" l="1"/>
  <c r="M18" i="5" s="1" a="1"/>
  <c r="O18" i="5" s="1"/>
  <c r="I102" i="5" s="1"/>
  <c r="X48" i="14"/>
  <c r="S49" i="14"/>
  <c r="N8" i="16" l="1"/>
  <c r="AS18" i="5"/>
  <c r="AA18" i="5"/>
  <c r="U102" i="5" s="1"/>
  <c r="AC18" i="5"/>
  <c r="W102" i="5" s="1"/>
  <c r="AU18" i="5"/>
  <c r="V18" i="5"/>
  <c r="P102" i="5" s="1"/>
  <c r="AW18" i="5"/>
  <c r="AN18" i="5"/>
  <c r="AV18" i="5"/>
  <c r="AJ18" i="5"/>
  <c r="AD102" i="5" s="1"/>
  <c r="AK18" i="5"/>
  <c r="AE102" i="5" s="1"/>
  <c r="S18" i="5"/>
  <c r="M102" i="5" s="1"/>
  <c r="U18" i="5"/>
  <c r="O102" i="5" s="1"/>
  <c r="AY18" i="5"/>
  <c r="AM18" i="5"/>
  <c r="AP18" i="5"/>
  <c r="Z18" i="5"/>
  <c r="T102" i="5" s="1"/>
  <c r="AT18" i="5"/>
  <c r="AX18" i="5"/>
  <c r="AI18" i="5"/>
  <c r="AC102" i="5" s="1"/>
  <c r="AD18" i="5"/>
  <c r="X102" i="5" s="1"/>
  <c r="Y18" i="5"/>
  <c r="S102" i="5" s="1"/>
  <c r="AL18" i="5"/>
  <c r="AF102" i="5" s="1"/>
  <c r="N18" i="5"/>
  <c r="H102" i="5" s="1"/>
  <c r="Q18" i="5"/>
  <c r="K102" i="5" s="1"/>
  <c r="AE18" i="5"/>
  <c r="Y102" i="5" s="1"/>
  <c r="AO18" i="5"/>
  <c r="AZ18" i="5"/>
  <c r="N7" i="16"/>
  <c r="AH18" i="5"/>
  <c r="AB102" i="5" s="1"/>
  <c r="AR18" i="5"/>
  <c r="M18" i="5"/>
  <c r="G102" i="5" s="1"/>
  <c r="R18" i="5"/>
  <c r="L102" i="5" s="1"/>
  <c r="W18" i="5"/>
  <c r="Q102" i="5" s="1"/>
  <c r="X18" i="5"/>
  <c r="R102" i="5" s="1"/>
  <c r="AB18" i="5"/>
  <c r="V102" i="5" s="1"/>
  <c r="AQ18" i="5"/>
  <c r="AF18" i="5"/>
  <c r="Z102" i="5" s="1"/>
  <c r="AG18" i="5"/>
  <c r="AA102" i="5" s="1"/>
  <c r="P18" i="5"/>
  <c r="J102" i="5" s="1"/>
  <c r="T18" i="5"/>
  <c r="N102" i="5" s="1"/>
  <c r="U49" i="14"/>
  <c r="S6" i="14"/>
  <c r="T49" i="14"/>
  <c r="V49" i="14"/>
  <c r="O47" i="22"/>
  <c r="P47" i="22" s="1"/>
  <c r="Q47" i="22" s="1"/>
  <c r="O47" i="16"/>
  <c r="P47" i="16" s="1"/>
  <c r="Q47" i="16" s="1"/>
  <c r="T47" i="16" s="1"/>
  <c r="U47" i="16" s="1"/>
  <c r="G18" i="5" l="1"/>
  <c r="J18" i="5" s="1"/>
  <c r="D65" i="3" s="1"/>
  <c r="H18" i="5"/>
  <c r="K18" i="5"/>
  <c r="I28" i="2" s="1"/>
  <c r="P75" i="2" s="1"/>
  <c r="P76" i="2" s="1"/>
  <c r="P78" i="2" s="1"/>
  <c r="S50" i="14"/>
  <c r="T50" i="14" s="1"/>
  <c r="V6" i="14"/>
  <c r="X49" i="14"/>
  <c r="D72" i="3" l="1"/>
  <c r="V50" i="14"/>
  <c r="X50" i="14" s="1"/>
  <c r="O49" i="16" s="1"/>
  <c r="P49" i="16" s="1"/>
  <c r="Q49" i="16" s="1"/>
  <c r="U50" i="14"/>
  <c r="O48" i="16"/>
  <c r="X6" i="14"/>
  <c r="O48" i="22"/>
  <c r="P80" i="2"/>
  <c r="P81" i="2" s="1"/>
  <c r="O49" i="22" l="1"/>
  <c r="P49" i="22" s="1"/>
  <c r="Q49" i="22" s="1"/>
  <c r="P48" i="16"/>
  <c r="O8" i="16"/>
  <c r="O7" i="16"/>
  <c r="M19" i="5" a="1"/>
  <c r="P48" i="22"/>
  <c r="O7" i="22" l="1"/>
  <c r="Q48" i="22"/>
  <c r="P7" i="22"/>
  <c r="V19" i="5"/>
  <c r="Z19" i="5"/>
  <c r="AN19" i="5"/>
  <c r="AN21" i="5" s="1"/>
  <c r="AN22" i="5" s="1"/>
  <c r="AJ19" i="5"/>
  <c r="AC19" i="5"/>
  <c r="AZ19" i="5"/>
  <c r="AZ21" i="5" s="1"/>
  <c r="AZ22" i="5" s="1"/>
  <c r="AL19" i="5"/>
  <c r="AP19" i="5"/>
  <c r="AP21" i="5" s="1"/>
  <c r="AP22" i="5" s="1"/>
  <c r="S19" i="5"/>
  <c r="AK19" i="5"/>
  <c r="AD19" i="5"/>
  <c r="R19" i="5"/>
  <c r="Q19" i="5"/>
  <c r="AH19" i="5"/>
  <c r="AB19" i="5"/>
  <c r="AR19" i="5"/>
  <c r="AR21" i="5" s="1"/>
  <c r="AR22" i="5" s="1"/>
  <c r="Y19" i="5"/>
  <c r="O19" i="5"/>
  <c r="N19" i="5"/>
  <c r="AU19" i="5"/>
  <c r="AU21" i="5" s="1"/>
  <c r="AU22" i="5" s="1"/>
  <c r="U19" i="5"/>
  <c r="AT19" i="5"/>
  <c r="AT21" i="5" s="1"/>
  <c r="AT22" i="5" s="1"/>
  <c r="T19" i="5"/>
  <c r="AF19" i="5"/>
  <c r="AX19" i="5"/>
  <c r="AX21" i="5" s="1"/>
  <c r="AX22" i="5" s="1"/>
  <c r="P19" i="5"/>
  <c r="X19" i="5"/>
  <c r="AG19" i="5"/>
  <c r="AA19" i="5"/>
  <c r="AO19" i="5"/>
  <c r="AO21" i="5" s="1"/>
  <c r="AO22" i="5" s="1"/>
  <c r="AI19" i="5"/>
  <c r="W19" i="5"/>
  <c r="AE19" i="5"/>
  <c r="AY19" i="5"/>
  <c r="AY21" i="5" s="1"/>
  <c r="AY22" i="5" s="1"/>
  <c r="AV19" i="5"/>
  <c r="AV21" i="5" s="1"/>
  <c r="AV22" i="5" s="1"/>
  <c r="AW19" i="5"/>
  <c r="AW21" i="5" s="1"/>
  <c r="AW22" i="5" s="1"/>
  <c r="AQ19" i="5"/>
  <c r="AQ21" i="5" s="1"/>
  <c r="AQ22" i="5" s="1"/>
  <c r="AS19" i="5"/>
  <c r="AS21" i="5" s="1"/>
  <c r="AS22" i="5" s="1"/>
  <c r="AM19" i="5"/>
  <c r="AM21" i="5" s="1"/>
  <c r="AM22" i="5" s="1"/>
  <c r="M19" i="5"/>
  <c r="Q48" i="16"/>
  <c r="P8" i="16"/>
  <c r="P7" i="16"/>
  <c r="AD103" i="5" l="1"/>
  <c r="AJ21" i="5"/>
  <c r="AJ22" i="5" s="1"/>
  <c r="AD100" i="5" s="1"/>
  <c r="Y103" i="5"/>
  <c r="AE21" i="5"/>
  <c r="AE22" i="5" s="1"/>
  <c r="Y100" i="5" s="1"/>
  <c r="X21" i="5"/>
  <c r="X22" i="5" s="1"/>
  <c r="R100" i="5" s="1"/>
  <c r="R103" i="5"/>
  <c r="AF21" i="5"/>
  <c r="AF22" i="5" s="1"/>
  <c r="Z100" i="5" s="1"/>
  <c r="Z103" i="5"/>
  <c r="N103" i="5"/>
  <c r="T21" i="5"/>
  <c r="T22" i="5" s="1"/>
  <c r="N100" i="5" s="1"/>
  <c r="AL8" i="22"/>
  <c r="AR8" i="22"/>
  <c r="BN8" i="22"/>
  <c r="AJ8" i="22"/>
  <c r="AJ9" i="22" s="1"/>
  <c r="CB8" i="22"/>
  <c r="AX8" i="22"/>
  <c r="CH8" i="22"/>
  <c r="BW8" i="22"/>
  <c r="AY8" i="22"/>
  <c r="BB8" i="22"/>
  <c r="BC8" i="22"/>
  <c r="BM8" i="22"/>
  <c r="BS8" i="22"/>
  <c r="AO8" i="22"/>
  <c r="AP8" i="22"/>
  <c r="BD8" i="22"/>
  <c r="BA8" i="22"/>
  <c r="BP8" i="22"/>
  <c r="CI8" i="22"/>
  <c r="CD8" i="22"/>
  <c r="BF8" i="22"/>
  <c r="CC8" i="22"/>
  <c r="BK8" i="22"/>
  <c r="Q7" i="22"/>
  <c r="BI8" i="22"/>
  <c r="BV8" i="22"/>
  <c r="BG8" i="22"/>
  <c r="AK8" i="22"/>
  <c r="CF8" i="22"/>
  <c r="CA8" i="22"/>
  <c r="BU8" i="22"/>
  <c r="AV8" i="22"/>
  <c r="BZ8" i="22"/>
  <c r="CG8" i="22"/>
  <c r="BR8" i="22"/>
  <c r="AZ8" i="22"/>
  <c r="BX8" i="22"/>
  <c r="CE8" i="22"/>
  <c r="AW8" i="22"/>
  <c r="AS8" i="22"/>
  <c r="BQ8" i="22"/>
  <c r="BT8" i="22"/>
  <c r="AM8" i="22"/>
  <c r="BE8" i="22"/>
  <c r="AN8" i="22"/>
  <c r="AU8" i="22"/>
  <c r="BJ8" i="22"/>
  <c r="BH8" i="22"/>
  <c r="AT8" i="22"/>
  <c r="BO8" i="22"/>
  <c r="AQ8" i="22"/>
  <c r="BL8" i="22"/>
  <c r="BY8" i="22"/>
  <c r="I103" i="5"/>
  <c r="O21" i="5"/>
  <c r="O22" i="5" s="1"/>
  <c r="I100" i="5" s="1"/>
  <c r="AA103" i="5"/>
  <c r="AG21" i="5"/>
  <c r="AG22" i="5" s="1"/>
  <c r="AA100" i="5" s="1"/>
  <c r="O103" i="5"/>
  <c r="U21" i="5"/>
  <c r="U22" i="5" s="1"/>
  <c r="O100" i="5" s="1"/>
  <c r="K103" i="5"/>
  <c r="Q21" i="5"/>
  <c r="Q22" i="5" s="1"/>
  <c r="K100" i="5" s="1"/>
  <c r="Q103" i="5"/>
  <c r="W21" i="5"/>
  <c r="W22" i="5" s="1"/>
  <c r="Q100" i="5" s="1"/>
  <c r="T103" i="5"/>
  <c r="Z21" i="5"/>
  <c r="Z22" i="5" s="1"/>
  <c r="T100" i="5" s="1"/>
  <c r="AC103" i="5"/>
  <c r="AI21" i="5"/>
  <c r="AI22" i="5" s="1"/>
  <c r="AC100" i="5" s="1"/>
  <c r="U103" i="5"/>
  <c r="AA21" i="5"/>
  <c r="AA22" i="5" s="1"/>
  <c r="U100" i="5" s="1"/>
  <c r="J103" i="5"/>
  <c r="P21" i="5"/>
  <c r="P22" i="5" s="1"/>
  <c r="J100" i="5" s="1"/>
  <c r="N21" i="5"/>
  <c r="N22" i="5" s="1"/>
  <c r="H100" i="5" s="1"/>
  <c r="H103" i="5"/>
  <c r="W103" i="5"/>
  <c r="AC21" i="5"/>
  <c r="AC22" i="5" s="1"/>
  <c r="W100" i="5" s="1"/>
  <c r="V21" i="5"/>
  <c r="V22" i="5" s="1"/>
  <c r="P100" i="5" s="1"/>
  <c r="P103" i="5"/>
  <c r="Y21" i="5"/>
  <c r="Y22" i="5" s="1"/>
  <c r="S100" i="5" s="1"/>
  <c r="S103" i="5"/>
  <c r="AB21" i="5"/>
  <c r="AB22" i="5" s="1"/>
  <c r="V100" i="5" s="1"/>
  <c r="V103" i="5"/>
  <c r="AB103" i="5"/>
  <c r="AH21" i="5"/>
  <c r="AH22" i="5" s="1"/>
  <c r="AB100" i="5" s="1"/>
  <c r="L103" i="5"/>
  <c r="R21" i="5"/>
  <c r="R22" i="5" s="1"/>
  <c r="L100" i="5" s="1"/>
  <c r="X103" i="5"/>
  <c r="AD21" i="5"/>
  <c r="AD22" i="5" s="1"/>
  <c r="X100" i="5" s="1"/>
  <c r="AE103" i="5"/>
  <c r="AK21" i="5"/>
  <c r="AK22" i="5" s="1"/>
  <c r="AE100" i="5" s="1"/>
  <c r="Q7" i="16"/>
  <c r="Q8" i="16"/>
  <c r="T48" i="16"/>
  <c r="S21" i="5"/>
  <c r="S22" i="5" s="1"/>
  <c r="M100" i="5" s="1"/>
  <c r="M103" i="5"/>
  <c r="G103" i="5"/>
  <c r="K19" i="5"/>
  <c r="G19" i="5"/>
  <c r="M21" i="5"/>
  <c r="M22" i="5" s="1"/>
  <c r="H19" i="5"/>
  <c r="AF103" i="5"/>
  <c r="AL21" i="5"/>
  <c r="AL22" i="5" s="1"/>
  <c r="AF100" i="5" s="1"/>
  <c r="T49" i="16" l="1"/>
  <c r="U49" i="16" s="1"/>
  <c r="U48" i="16"/>
  <c r="AK9" i="22"/>
  <c r="AL9" i="22" s="1"/>
  <c r="AM9" i="22" s="1"/>
  <c r="AN9" i="22" s="1"/>
  <c r="AO9" i="22" s="1"/>
  <c r="AP9" i="22" s="1"/>
  <c r="AQ9" i="22" s="1"/>
  <c r="AR9" i="22" s="1"/>
  <c r="AS9" i="22" s="1"/>
  <c r="AT9" i="22" s="1"/>
  <c r="AU9" i="22" s="1"/>
  <c r="AV9" i="22" s="1"/>
  <c r="AW9" i="22" s="1"/>
  <c r="AX9" i="22" s="1"/>
  <c r="AY9" i="22" s="1"/>
  <c r="AZ9" i="22" s="1"/>
  <c r="BA9" i="22" s="1"/>
  <c r="BB9" i="22" s="1"/>
  <c r="BC9" i="22" s="1"/>
  <c r="BD9" i="22" s="1"/>
  <c r="BE9" i="22" s="1"/>
  <c r="BF9" i="22" s="1"/>
  <c r="BG9" i="22" s="1"/>
  <c r="BH9" i="22" s="1"/>
  <c r="BI9" i="22" s="1"/>
  <c r="BJ9" i="22" s="1"/>
  <c r="BK9" i="22" s="1"/>
  <c r="BL9" i="22" s="1"/>
  <c r="BM9" i="22" s="1"/>
  <c r="BN9" i="22" s="1"/>
  <c r="BO9" i="22" s="1"/>
  <c r="BP9" i="22" s="1"/>
  <c r="BQ9" i="22" s="1"/>
  <c r="BR9" i="22" s="1"/>
  <c r="BS9" i="22" s="1"/>
  <c r="BT9" i="22" s="1"/>
  <c r="BU9" i="22" s="1"/>
  <c r="BV9" i="22" s="1"/>
  <c r="BW9" i="22" s="1"/>
  <c r="BX9" i="22" s="1"/>
  <c r="BY9" i="22" s="1"/>
  <c r="BZ9" i="22" s="1"/>
  <c r="CA9" i="22" s="1"/>
  <c r="CB9" i="22" s="1"/>
  <c r="CC9" i="22" s="1"/>
  <c r="CD9" i="22" s="1"/>
  <c r="CE9" i="22" s="1"/>
  <c r="CF9" i="22" s="1"/>
  <c r="CG9" i="22" s="1"/>
  <c r="CH9" i="22" s="1"/>
  <c r="CI9" i="22" s="1"/>
  <c r="H21" i="5"/>
  <c r="H22" i="5" s="1"/>
  <c r="Q7" i="2"/>
  <c r="N7" i="2" s="1"/>
  <c r="K7" i="2" s="1"/>
  <c r="H7" i="2" s="1"/>
  <c r="D7" i="2" s="1"/>
  <c r="G100" i="5"/>
  <c r="M23" i="5"/>
  <c r="N23" i="5" s="1"/>
  <c r="O23" i="5" s="1"/>
  <c r="P23" i="5" s="1"/>
  <c r="Q23" i="5" s="1"/>
  <c r="R23" i="5" s="1"/>
  <c r="S23" i="5" s="1"/>
  <c r="T23" i="5" s="1"/>
  <c r="U23" i="5" s="1"/>
  <c r="V23" i="5" s="1"/>
  <c r="W23" i="5" s="1"/>
  <c r="X23" i="5" s="1"/>
  <c r="Y23" i="5" s="1"/>
  <c r="Z23" i="5" s="1"/>
  <c r="AA23" i="5" s="1"/>
  <c r="AB23" i="5" s="1"/>
  <c r="AC23" i="5" s="1"/>
  <c r="AD23" i="5" s="1"/>
  <c r="AE23" i="5" s="1"/>
  <c r="AF23" i="5" s="1"/>
  <c r="AG23" i="5" s="1"/>
  <c r="AH23" i="5" s="1"/>
  <c r="AI23" i="5" s="1"/>
  <c r="AJ23" i="5" s="1"/>
  <c r="AK23" i="5" s="1"/>
  <c r="AL23" i="5" s="1"/>
  <c r="AM23" i="5" s="1"/>
  <c r="AN23" i="5" s="1"/>
  <c r="AO23" i="5" s="1"/>
  <c r="AP23" i="5" s="1"/>
  <c r="AQ23" i="5" s="1"/>
  <c r="AR23" i="5" s="1"/>
  <c r="AS23" i="5" s="1"/>
  <c r="AT23" i="5" s="1"/>
  <c r="AU23" i="5" s="1"/>
  <c r="AV23" i="5" s="1"/>
  <c r="AW23" i="5" s="1"/>
  <c r="AX23" i="5" s="1"/>
  <c r="AY23" i="5" s="1"/>
  <c r="AZ23" i="5" s="1"/>
  <c r="G21" i="5"/>
  <c r="G22" i="5" s="1"/>
  <c r="J19" i="5"/>
  <c r="K21" i="5"/>
  <c r="K22" i="5" s="1"/>
  <c r="I32" i="2" s="1"/>
  <c r="I29" i="2"/>
  <c r="U6" i="16" l="1"/>
  <c r="AJ4" i="22"/>
  <c r="AK4" i="22" s="1"/>
  <c r="I33" i="2" s="1"/>
  <c r="G9" i="28"/>
  <c r="G24" i="28"/>
  <c r="G14" i="28"/>
  <c r="S75" i="2"/>
  <c r="I34" i="2"/>
  <c r="G29" i="28"/>
  <c r="D16" i="3"/>
  <c r="G4" i="28"/>
  <c r="G34" i="28"/>
  <c r="D8" i="3"/>
  <c r="D25" i="3"/>
  <c r="J81" i="28"/>
  <c r="G19" i="28"/>
  <c r="J50" i="28"/>
  <c r="I31" i="2"/>
  <c r="Q75" i="2"/>
  <c r="Q76" i="2" s="1"/>
  <c r="D73" i="3"/>
  <c r="D66" i="3"/>
  <c r="J21" i="5"/>
  <c r="J22" i="5" s="1"/>
  <c r="S83" i="2" l="1"/>
  <c r="S82" i="2"/>
  <c r="G16" i="28"/>
  <c r="G26" i="28"/>
  <c r="G31" i="28"/>
  <c r="G6" i="28"/>
  <c r="G21" i="28"/>
  <c r="G11" i="28"/>
  <c r="G36" i="28"/>
  <c r="J70" i="28"/>
  <c r="G5" i="28"/>
  <c r="G35" i="28"/>
  <c r="G30" i="28"/>
  <c r="G20" i="28"/>
  <c r="G10" i="28"/>
  <c r="G25" i="28"/>
  <c r="G15" i="28"/>
  <c r="D67" i="3"/>
  <c r="D68" i="3" s="1"/>
  <c r="D74" i="3"/>
  <c r="Q78" i="2"/>
  <c r="Q80" i="2" s="1"/>
  <c r="Q81" i="2" s="1"/>
  <c r="R76" i="2"/>
  <c r="J60" i="28"/>
  <c r="M53" i="28"/>
  <c r="M54" i="28"/>
  <c r="N56" i="28"/>
  <c r="M57" i="28"/>
  <c r="N51" i="28"/>
  <c r="N57" i="28"/>
  <c r="N53" i="28"/>
  <c r="N52" i="28"/>
  <c r="M55" i="28"/>
  <c r="M51" i="28"/>
  <c r="N55" i="28"/>
  <c r="N54" i="28"/>
  <c r="M56" i="28"/>
  <c r="M52" i="28"/>
  <c r="M88" i="28"/>
  <c r="L88" i="28" s="1"/>
  <c r="M84" i="28"/>
  <c r="L84" i="28" s="1"/>
  <c r="N88" i="28"/>
  <c r="N85" i="28"/>
  <c r="M83" i="28"/>
  <c r="L83" i="28" s="1"/>
  <c r="N84" i="28"/>
  <c r="M86" i="28"/>
  <c r="L86" i="28" s="1"/>
  <c r="M85" i="28"/>
  <c r="L85" i="28" s="1"/>
  <c r="N83" i="28"/>
  <c r="M82" i="28"/>
  <c r="L82" i="28" s="1"/>
  <c r="M87" i="28"/>
  <c r="L87" i="28" s="1"/>
  <c r="N87" i="28"/>
  <c r="N86" i="28"/>
  <c r="N82" i="28"/>
  <c r="L57" i="28" l="1"/>
  <c r="O57" i="28" s="1"/>
  <c r="L53" i="28"/>
  <c r="O53" i="28" s="1"/>
  <c r="L54" i="28"/>
  <c r="R54" i="28" s="1"/>
  <c r="L55" i="28"/>
  <c r="O55" i="28" s="1"/>
  <c r="L51" i="28"/>
  <c r="O51" i="28" s="1"/>
  <c r="L56" i="28"/>
  <c r="O56" i="28" s="1"/>
  <c r="L52" i="28"/>
  <c r="O52" i="28" s="1"/>
  <c r="R78" i="2"/>
  <c r="R80" i="2" s="1"/>
  <c r="R81" i="2" s="1"/>
  <c r="R83" i="28"/>
  <c r="O83" i="28"/>
  <c r="S83" i="28"/>
  <c r="Q83" i="28"/>
  <c r="P83" i="28"/>
  <c r="M77" i="28"/>
  <c r="M71" i="28"/>
  <c r="N74" i="28"/>
  <c r="N77" i="28"/>
  <c r="M74" i="28"/>
  <c r="N71" i="28"/>
  <c r="N73" i="28"/>
  <c r="N76" i="28"/>
  <c r="N75" i="28"/>
  <c r="M75" i="28"/>
  <c r="M73" i="28"/>
  <c r="N72" i="28"/>
  <c r="M76" i="28"/>
  <c r="M72" i="28"/>
  <c r="S84" i="28"/>
  <c r="P84" i="28"/>
  <c r="Q84" i="28"/>
  <c r="O84" i="28"/>
  <c r="R84" i="28"/>
  <c r="M65" i="28"/>
  <c r="M66" i="28"/>
  <c r="L66" i="28" s="1"/>
  <c r="N63" i="28"/>
  <c r="M61" i="28"/>
  <c r="L61" i="28" s="1"/>
  <c r="R61" i="28" s="1"/>
  <c r="N65" i="28"/>
  <c r="N66" i="28"/>
  <c r="N62" i="28"/>
  <c r="N67" i="28"/>
  <c r="N61" i="28"/>
  <c r="M64" i="28"/>
  <c r="L64" i="28" s="1"/>
  <c r="R64" i="28" s="1"/>
  <c r="M67" i="28"/>
  <c r="L67" i="28" s="1"/>
  <c r="S67" i="28" s="1"/>
  <c r="M63" i="28"/>
  <c r="L63" i="28" s="1"/>
  <c r="R63" i="28" s="1"/>
  <c r="N64" i="28"/>
  <c r="M62" i="28"/>
  <c r="L62" i="28" s="1"/>
  <c r="R62" i="28" s="1"/>
  <c r="S88" i="28"/>
  <c r="R88" i="28"/>
  <c r="Q88" i="28"/>
  <c r="P88" i="28"/>
  <c r="O88" i="28"/>
  <c r="S82" i="28"/>
  <c r="O82" i="28"/>
  <c r="R82" i="28"/>
  <c r="P82" i="28"/>
  <c r="Q82" i="28"/>
  <c r="O87" i="28"/>
  <c r="R87" i="28"/>
  <c r="S87" i="28"/>
  <c r="P87" i="28"/>
  <c r="Q87" i="28"/>
  <c r="O85" i="28"/>
  <c r="Q85" i="28"/>
  <c r="R85" i="28"/>
  <c r="S85" i="28"/>
  <c r="P85" i="28"/>
  <c r="P86" i="28"/>
  <c r="S86" i="28"/>
  <c r="Q86" i="28"/>
  <c r="R86" i="28"/>
  <c r="O86" i="28"/>
  <c r="AV18" i="20"/>
  <c r="AV19" i="20" s="1"/>
  <c r="R18" i="20"/>
  <c r="R17" i="20" s="1"/>
  <c r="L71" i="28" l="1"/>
  <c r="R71" i="28" s="1"/>
  <c r="Q57" i="28"/>
  <c r="R57" i="28"/>
  <c r="S57" i="28"/>
  <c r="P57" i="28"/>
  <c r="R53" i="28"/>
  <c r="P53" i="28"/>
  <c r="Q53" i="28"/>
  <c r="Q54" i="28"/>
  <c r="S54" i="28"/>
  <c r="P54" i="28"/>
  <c r="Q52" i="28"/>
  <c r="Q56" i="28"/>
  <c r="Q51" i="28"/>
  <c r="O54" i="28"/>
  <c r="S53" i="28"/>
  <c r="R52" i="28"/>
  <c r="R51" i="28"/>
  <c r="P51" i="28"/>
  <c r="S52" i="28"/>
  <c r="P55" i="28"/>
  <c r="R56" i="28"/>
  <c r="R55" i="28"/>
  <c r="P56" i="28"/>
  <c r="Q55" i="28"/>
  <c r="S51" i="28"/>
  <c r="P52" i="28"/>
  <c r="S55" i="28"/>
  <c r="S56" i="28"/>
  <c r="L77" i="28"/>
  <c r="S77" i="28" s="1"/>
  <c r="L75" i="28"/>
  <c r="P75" i="28" s="1"/>
  <c r="L76" i="28"/>
  <c r="S76" i="28" s="1"/>
  <c r="L74" i="28"/>
  <c r="Q74" i="28" s="1"/>
  <c r="L72" i="28"/>
  <c r="R72" i="28" s="1"/>
  <c r="L73" i="28"/>
  <c r="S73" i="28" s="1"/>
  <c r="O61" i="28"/>
  <c r="S63" i="28"/>
  <c r="Q63" i="28"/>
  <c r="P67" i="28"/>
  <c r="O63" i="28"/>
  <c r="P63" i="28"/>
  <c r="R67" i="28"/>
  <c r="O67" i="28"/>
  <c r="S64" i="28"/>
  <c r="O62" i="28"/>
  <c r="Q67" i="28"/>
  <c r="P64" i="28"/>
  <c r="Q64" i="28"/>
  <c r="O64" i="28"/>
  <c r="Q66" i="28"/>
  <c r="O66" i="28"/>
  <c r="R66" i="28"/>
  <c r="S66" i="28"/>
  <c r="P66" i="28"/>
  <c r="Q61" i="28"/>
  <c r="P61" i="28"/>
  <c r="S61" i="28"/>
  <c r="S62" i="28"/>
  <c r="Q62" i="28"/>
  <c r="P62" i="28"/>
  <c r="L65" i="28"/>
  <c r="AW18" i="20"/>
  <c r="M45" i="31" s="1"/>
  <c r="T18" i="20"/>
  <c r="X45" i="31" s="1"/>
  <c r="S18" i="20"/>
  <c r="J45" i="31" s="1"/>
  <c r="AX18" i="20"/>
  <c r="AA45" i="31" s="1"/>
  <c r="AV17" i="20"/>
  <c r="R16" i="20"/>
  <c r="S17" i="20"/>
  <c r="J44" i="31" s="1"/>
  <c r="T17" i="20"/>
  <c r="X44" i="31" s="1"/>
  <c r="AX19" i="20"/>
  <c r="AA46" i="31" s="1"/>
  <c r="AW19" i="20"/>
  <c r="M46" i="31" s="1"/>
  <c r="AV20" i="20"/>
  <c r="R19" i="20"/>
  <c r="S71" i="28" l="1"/>
  <c r="P71" i="28"/>
  <c r="O71" i="28"/>
  <c r="Q71" i="28"/>
  <c r="P72" i="28"/>
  <c r="O72" i="28"/>
  <c r="Q72" i="28"/>
  <c r="S72" i="28"/>
  <c r="Q73" i="28"/>
  <c r="O77" i="28"/>
  <c r="P77" i="28"/>
  <c r="R73" i="28"/>
  <c r="Q77" i="28"/>
  <c r="P73" i="28"/>
  <c r="O73" i="28"/>
  <c r="R77" i="28"/>
  <c r="S74" i="28"/>
  <c r="P74" i="28"/>
  <c r="Q75" i="28"/>
  <c r="R74" i="28"/>
  <c r="R75" i="28"/>
  <c r="O74" i="28"/>
  <c r="Q76" i="28"/>
  <c r="O75" i="28"/>
  <c r="O76" i="28"/>
  <c r="S75" i="28"/>
  <c r="P76" i="28"/>
  <c r="R76" i="28"/>
  <c r="Q65" i="28"/>
  <c r="R65" i="28"/>
  <c r="O65" i="28"/>
  <c r="S65" i="28"/>
  <c r="P65" i="28"/>
  <c r="AV16" i="20"/>
  <c r="AX17" i="20"/>
  <c r="AA44" i="31" s="1"/>
  <c r="AW17" i="20"/>
  <c r="M44" i="31" s="1"/>
  <c r="T19" i="20"/>
  <c r="X46" i="31" s="1"/>
  <c r="S19" i="20"/>
  <c r="J46" i="31" s="1"/>
  <c r="R20" i="20"/>
  <c r="R15" i="20"/>
  <c r="T16" i="20"/>
  <c r="X43" i="31" s="1"/>
  <c r="S16" i="20"/>
  <c r="J43" i="31" s="1"/>
  <c r="AW20" i="20"/>
  <c r="M47" i="31" s="1"/>
  <c r="AX20" i="20"/>
  <c r="AA47" i="31" s="1"/>
  <c r="AV21" i="20"/>
  <c r="AW16" i="20" l="1"/>
  <c r="M43" i="31" s="1"/>
  <c r="AV15" i="20"/>
  <c r="AX16" i="20"/>
  <c r="AA43" i="31" s="1"/>
  <c r="S15" i="20"/>
  <c r="J42" i="31" s="1"/>
  <c r="R14" i="20"/>
  <c r="T15" i="20"/>
  <c r="X42" i="31" s="1"/>
  <c r="S20" i="20"/>
  <c r="J47" i="31" s="1"/>
  <c r="R21" i="20"/>
  <c r="T20" i="20"/>
  <c r="X47" i="31" s="1"/>
  <c r="AX21" i="20"/>
  <c r="AA48" i="31" s="1"/>
  <c r="AW21" i="20"/>
  <c r="M48" i="31" s="1"/>
  <c r="AV22" i="20"/>
  <c r="AX15" i="20" l="1"/>
  <c r="AA42" i="31" s="1"/>
  <c r="AV14" i="20"/>
  <c r="AW15" i="20"/>
  <c r="M42" i="31" s="1"/>
  <c r="AX22" i="20"/>
  <c r="AA49" i="31" s="1"/>
  <c r="AW22" i="20"/>
  <c r="M49" i="31" s="1"/>
  <c r="AV23" i="20"/>
  <c r="T21" i="20"/>
  <c r="X48" i="31" s="1"/>
  <c r="S21" i="20"/>
  <c r="J48" i="31" s="1"/>
  <c r="R22" i="20"/>
  <c r="R13" i="20"/>
  <c r="T14" i="20"/>
  <c r="X41" i="31" s="1"/>
  <c r="S14" i="20"/>
  <c r="J41" i="31" s="1"/>
  <c r="AW14" i="20" l="1"/>
  <c r="M41" i="31" s="1"/>
  <c r="AV13" i="20"/>
  <c r="AX14" i="20"/>
  <c r="AA41" i="31" s="1"/>
  <c r="T13" i="20"/>
  <c r="X40" i="31" s="1"/>
  <c r="S13" i="20"/>
  <c r="J40" i="31" s="1"/>
  <c r="R12" i="20"/>
  <c r="AW23" i="20"/>
  <c r="M50" i="31" s="1"/>
  <c r="AX23" i="20"/>
  <c r="AA50" i="31" s="1"/>
  <c r="AV24" i="20"/>
  <c r="T22" i="20"/>
  <c r="X49" i="31" s="1"/>
  <c r="S22" i="20"/>
  <c r="J49" i="31" s="1"/>
  <c r="R23" i="20"/>
  <c r="AW13" i="20" l="1"/>
  <c r="M40" i="31" s="1"/>
  <c r="AX13" i="20"/>
  <c r="AA40" i="31" s="1"/>
  <c r="AV12" i="20"/>
  <c r="AV25" i="20"/>
  <c r="AX24" i="20"/>
  <c r="AA51" i="31" s="1"/>
  <c r="AW24" i="20"/>
  <c r="M51" i="31" s="1"/>
  <c r="S12" i="20"/>
  <c r="J39" i="31" s="1"/>
  <c r="T12" i="20"/>
  <c r="X39" i="31" s="1"/>
  <c r="R24" i="20"/>
  <c r="T23" i="20"/>
  <c r="X50" i="31" s="1"/>
  <c r="S23" i="20"/>
  <c r="J50" i="31" s="1"/>
  <c r="AW12" i="20" l="1"/>
  <c r="M39" i="31" s="1"/>
  <c r="AX12" i="20"/>
  <c r="AA39" i="31" s="1"/>
  <c r="R25" i="20"/>
  <c r="S24" i="20"/>
  <c r="J51" i="31" s="1"/>
  <c r="T24" i="20"/>
  <c r="X51" i="31" s="1"/>
  <c r="AX25" i="20"/>
  <c r="AA52" i="31" s="1"/>
  <c r="AW25" i="20"/>
  <c r="M52" i="31" s="1"/>
  <c r="AV26" i="20"/>
  <c r="AW26" i="20" l="1"/>
  <c r="M53" i="31" s="1"/>
  <c r="AX26" i="20"/>
  <c r="AA53" i="31" s="1"/>
  <c r="AV27" i="20"/>
  <c r="R26" i="20"/>
  <c r="S25" i="20"/>
  <c r="J52" i="31" s="1"/>
  <c r="T25" i="20"/>
  <c r="X52" i="31" s="1"/>
  <c r="R27" i="20" l="1"/>
  <c r="T26" i="20"/>
  <c r="X53" i="31" s="1"/>
  <c r="S26" i="20"/>
  <c r="J53" i="31" s="1"/>
  <c r="AW27" i="20"/>
  <c r="M54" i="31" s="1"/>
  <c r="AX27" i="20"/>
  <c r="AA54" i="31" s="1"/>
  <c r="AV28" i="20"/>
  <c r="AW28" i="20" l="1"/>
  <c r="M55" i="31" s="1"/>
  <c r="AX28" i="20"/>
  <c r="AA55" i="31" s="1"/>
  <c r="AV29" i="20"/>
  <c r="R28" i="20"/>
  <c r="S27" i="20"/>
  <c r="J54" i="31" s="1"/>
  <c r="T27" i="20"/>
  <c r="X54" i="31" s="1"/>
  <c r="AV30" i="20" l="1"/>
  <c r="AW29" i="20"/>
  <c r="M56" i="31" s="1"/>
  <c r="AX29" i="20"/>
  <c r="AA56" i="31" s="1"/>
  <c r="S28" i="20"/>
  <c r="J55" i="31" s="1"/>
  <c r="T28" i="20"/>
  <c r="X55" i="31" s="1"/>
  <c r="R29" i="20"/>
  <c r="AV31" i="20" l="1"/>
  <c r="AX30" i="20"/>
  <c r="AA57" i="31" s="1"/>
  <c r="AW30" i="20"/>
  <c r="M57" i="31" s="1"/>
  <c r="R30" i="20"/>
  <c r="T29" i="20"/>
  <c r="X56" i="31" s="1"/>
  <c r="S29" i="20"/>
  <c r="J56" i="31" s="1"/>
  <c r="R31" i="20" l="1"/>
  <c r="S30" i="20"/>
  <c r="J57" i="31" s="1"/>
  <c r="T30" i="20"/>
  <c r="X57" i="31" s="1"/>
  <c r="AV32" i="20"/>
  <c r="AW31" i="20"/>
  <c r="M58" i="31" s="1"/>
  <c r="AX31" i="20"/>
  <c r="AA58" i="31" s="1"/>
  <c r="AV33" i="20" l="1"/>
  <c r="AW32" i="20"/>
  <c r="M59" i="31" s="1"/>
  <c r="AX32" i="20"/>
  <c r="AA59" i="31" s="1"/>
  <c r="T31" i="20"/>
  <c r="X58" i="31" s="1"/>
  <c r="S31" i="20"/>
  <c r="J58" i="31" s="1"/>
  <c r="R32" i="20"/>
  <c r="R33" i="20" l="1"/>
  <c r="T32" i="20"/>
  <c r="X59" i="31" s="1"/>
  <c r="S32" i="20"/>
  <c r="J59" i="31" s="1"/>
  <c r="AV34" i="20"/>
  <c r="AX33" i="20"/>
  <c r="AA60" i="31" s="1"/>
  <c r="AW33" i="20"/>
  <c r="M60" i="31" s="1"/>
  <c r="AV35" i="20" l="1"/>
  <c r="AX34" i="20"/>
  <c r="AA61" i="31" s="1"/>
  <c r="AW34" i="20"/>
  <c r="M61" i="31" s="1"/>
  <c r="R34" i="20"/>
  <c r="S33" i="20"/>
  <c r="J60" i="31" s="1"/>
  <c r="T33" i="20"/>
  <c r="X60" i="31" s="1"/>
  <c r="S34" i="20" l="1"/>
  <c r="J61" i="31" s="1"/>
  <c r="R35" i="20"/>
  <c r="T34" i="20"/>
  <c r="X61" i="31" s="1"/>
  <c r="AW35" i="20"/>
  <c r="M62" i="31" s="1"/>
  <c r="AX35" i="20"/>
  <c r="AA62" i="31" s="1"/>
  <c r="AV36" i="20"/>
  <c r="AV37" i="20" l="1"/>
  <c r="AW36" i="20"/>
  <c r="M63" i="31" s="1"/>
  <c r="AX36" i="20"/>
  <c r="AA63" i="31" s="1"/>
  <c r="T35" i="20"/>
  <c r="X62" i="31" s="1"/>
  <c r="S35" i="20"/>
  <c r="J62" i="31" s="1"/>
  <c r="R36" i="20"/>
  <c r="R37" i="20" l="1"/>
  <c r="T36" i="20"/>
  <c r="X63" i="31" s="1"/>
  <c r="S36" i="20"/>
  <c r="J63" i="31" s="1"/>
  <c r="AV38" i="20"/>
  <c r="AW37" i="20"/>
  <c r="M64" i="31" s="1"/>
  <c r="AX37" i="20"/>
  <c r="AA64" i="31" s="1"/>
  <c r="AV39" i="20" l="1"/>
  <c r="AW38" i="20"/>
  <c r="M65" i="31" s="1"/>
  <c r="AX38" i="20"/>
  <c r="AA65" i="31" s="1"/>
  <c r="R38" i="20"/>
  <c r="S37" i="20"/>
  <c r="J64" i="31" s="1"/>
  <c r="T37" i="20"/>
  <c r="X64" i="31" s="1"/>
  <c r="T38" i="20" l="1"/>
  <c r="X65" i="31" s="1"/>
  <c r="S38" i="20"/>
  <c r="J65" i="31" s="1"/>
  <c r="R39" i="20"/>
  <c r="AX39" i="20"/>
  <c r="AA66" i="31" s="1"/>
  <c r="AW39" i="20"/>
  <c r="M66" i="31" s="1"/>
  <c r="AV40" i="20"/>
  <c r="T39" i="20" l="1"/>
  <c r="X66" i="31" s="1"/>
  <c r="S39" i="20"/>
  <c r="J66" i="31" s="1"/>
  <c r="R40" i="20"/>
  <c r="AV41" i="20"/>
  <c r="AX40" i="20"/>
  <c r="AA67" i="31" s="1"/>
  <c r="AW40" i="20"/>
  <c r="M67" i="31" s="1"/>
  <c r="AV42" i="20" l="1"/>
  <c r="AW41" i="20"/>
  <c r="M68" i="31" s="1"/>
  <c r="AX41" i="20"/>
  <c r="AA68" i="31" s="1"/>
  <c r="R41" i="20"/>
  <c r="S40" i="20"/>
  <c r="J67" i="31" s="1"/>
  <c r="T40" i="20"/>
  <c r="X67" i="31" s="1"/>
  <c r="T41" i="20" l="1"/>
  <c r="X68" i="31" s="1"/>
  <c r="R42" i="20"/>
  <c r="S41" i="20"/>
  <c r="J68" i="31" s="1"/>
  <c r="AW42" i="20"/>
  <c r="M69" i="31" s="1"/>
  <c r="AV43" i="20"/>
  <c r="AX42" i="20"/>
  <c r="AA69" i="31" s="1"/>
  <c r="T42" i="20" l="1"/>
  <c r="X69" i="31" s="1"/>
  <c r="R43" i="20"/>
  <c r="S42" i="20"/>
  <c r="J69" i="31" s="1"/>
  <c r="AW43" i="20"/>
  <c r="M70" i="31" s="1"/>
  <c r="AX43" i="20"/>
  <c r="AA70" i="31" s="1"/>
  <c r="AV44" i="20"/>
  <c r="AV45" i="20" l="1"/>
  <c r="AX44" i="20"/>
  <c r="AA71" i="31" s="1"/>
  <c r="AW44" i="20"/>
  <c r="M71" i="31" s="1"/>
  <c r="T43" i="20"/>
  <c r="X70" i="31" s="1"/>
  <c r="S43" i="20"/>
  <c r="J70" i="31" s="1"/>
  <c r="R44" i="20"/>
  <c r="AV46" i="20" l="1"/>
  <c r="AW45" i="20"/>
  <c r="M72" i="31" s="1"/>
  <c r="AX45" i="20"/>
  <c r="AA72" i="31" s="1"/>
  <c r="R45" i="20"/>
  <c r="S44" i="20"/>
  <c r="J71" i="31" s="1"/>
  <c r="T44" i="20"/>
  <c r="X71" i="31" s="1"/>
  <c r="T45" i="20" l="1"/>
  <c r="X72" i="31" s="1"/>
  <c r="S45" i="20"/>
  <c r="J72" i="31" s="1"/>
  <c r="R46" i="20"/>
  <c r="AX46" i="20"/>
  <c r="AA73" i="31" s="1"/>
  <c r="AV47" i="20"/>
  <c r="AW46" i="20"/>
  <c r="M73" i="31" s="1"/>
  <c r="AW47" i="20" l="1"/>
  <c r="M74" i="31" s="1"/>
  <c r="AX47" i="20"/>
  <c r="AA74" i="31" s="1"/>
  <c r="AV48" i="20"/>
  <c r="T46" i="20"/>
  <c r="X73" i="31" s="1"/>
  <c r="S46" i="20"/>
  <c r="J73" i="31" s="1"/>
  <c r="R47" i="20"/>
  <c r="T47" i="20" l="1"/>
  <c r="X74" i="31" s="1"/>
  <c r="S47" i="20"/>
  <c r="J74" i="31" s="1"/>
  <c r="R48" i="20"/>
  <c r="AV49" i="20"/>
  <c r="AW48" i="20"/>
  <c r="M75" i="31" s="1"/>
  <c r="AX48" i="20"/>
  <c r="AA75" i="31" s="1"/>
  <c r="AX49" i="20" l="1"/>
  <c r="AA76" i="31" s="1"/>
  <c r="AW49" i="20"/>
  <c r="M76" i="31" s="1"/>
  <c r="AV50" i="20"/>
  <c r="T48" i="20"/>
  <c r="X75" i="31" s="1"/>
  <c r="R49" i="20"/>
  <c r="S48" i="20"/>
  <c r="J75" i="31" s="1"/>
  <c r="T49" i="20" l="1"/>
  <c r="X76" i="31" s="1"/>
  <c r="S49" i="20"/>
  <c r="J76" i="31" s="1"/>
  <c r="R50" i="20"/>
  <c r="AW50" i="20"/>
  <c r="M77" i="31" s="1"/>
  <c r="AX50" i="20"/>
  <c r="AA77" i="31" s="1"/>
  <c r="AV51" i="20"/>
  <c r="AX51" i="20" l="1"/>
  <c r="AW51" i="20"/>
  <c r="AV52" i="20"/>
  <c r="S50" i="20"/>
  <c r="J77" i="31" s="1"/>
  <c r="T50" i="20"/>
  <c r="X77" i="31" s="1"/>
  <c r="R51" i="20"/>
  <c r="S51" i="20" l="1"/>
  <c r="R52" i="20"/>
  <c r="T51" i="20"/>
  <c r="AW52" i="20"/>
  <c r="AX52" i="20"/>
  <c r="AV53" i="20"/>
  <c r="AV54" i="20" l="1"/>
  <c r="AW53" i="20"/>
  <c r="AX53" i="20"/>
  <c r="T52" i="20"/>
  <c r="S52" i="20"/>
  <c r="R53" i="20"/>
  <c r="AV55" i="20" l="1"/>
  <c r="AW54" i="20"/>
  <c r="AX54" i="20"/>
  <c r="S53" i="20"/>
  <c r="T53" i="20"/>
  <c r="R54" i="20"/>
  <c r="AX55" i="20" l="1"/>
  <c r="AW55" i="20"/>
  <c r="AV56" i="20"/>
  <c r="S54" i="20"/>
  <c r="T54" i="20"/>
  <c r="R55" i="20"/>
  <c r="R56" i="20" l="1"/>
  <c r="S55" i="20"/>
  <c r="T55" i="20"/>
  <c r="AX56" i="20"/>
  <c r="AW56" i="20"/>
  <c r="AV57" i="20"/>
  <c r="AX57" i="20" l="1"/>
  <c r="AW57" i="20"/>
  <c r="AV58" i="20"/>
  <c r="R57" i="20"/>
  <c r="T56" i="20"/>
  <c r="S56" i="20"/>
  <c r="R58" i="20" l="1"/>
  <c r="T57" i="20"/>
  <c r="S57" i="20"/>
  <c r="AX58" i="20"/>
  <c r="AW58" i="20"/>
  <c r="AV59" i="20"/>
  <c r="AX59" i="20" l="1"/>
  <c r="AW59" i="20"/>
  <c r="AV60" i="20"/>
  <c r="R59" i="20"/>
  <c r="T58" i="20"/>
  <c r="S58" i="20"/>
  <c r="S59" i="20" l="1"/>
  <c r="R60" i="20"/>
  <c r="T59" i="20"/>
  <c r="AW60" i="20"/>
  <c r="AX60" i="20"/>
  <c r="AV61" i="20"/>
  <c r="T60" i="20" l="1"/>
  <c r="S60" i="20"/>
  <c r="R61" i="20"/>
  <c r="AV62" i="20"/>
  <c r="AX61" i="20"/>
  <c r="AW61" i="20"/>
  <c r="AV63" i="20" l="1"/>
  <c r="AW62" i="20"/>
  <c r="AX62" i="20"/>
  <c r="R62" i="20"/>
  <c r="T61" i="20"/>
  <c r="S61" i="20"/>
  <c r="R63" i="20" l="1"/>
  <c r="T62" i="20"/>
  <c r="S62" i="20"/>
  <c r="AV64" i="20"/>
  <c r="AX63" i="20"/>
  <c r="AW63" i="20"/>
  <c r="R64" i="20" l="1"/>
  <c r="T63" i="20"/>
  <c r="S63" i="20"/>
  <c r="AX64" i="20"/>
  <c r="AW64" i="20"/>
  <c r="AV65" i="20"/>
  <c r="T64" i="20" l="1"/>
  <c r="S64" i="20"/>
  <c r="R65" i="20"/>
  <c r="AV66" i="20"/>
  <c r="AX65" i="20"/>
  <c r="AW65" i="20"/>
  <c r="AV67" i="20" l="1"/>
  <c r="AW66" i="20"/>
  <c r="AX66" i="20"/>
  <c r="R66" i="20"/>
  <c r="T65" i="20"/>
  <c r="S65" i="20"/>
  <c r="T66" i="20" l="1"/>
  <c r="R67" i="20"/>
  <c r="S66" i="20"/>
  <c r="AX67" i="20"/>
  <c r="AV68" i="20"/>
  <c r="AW67" i="20"/>
  <c r="AX68" i="20" l="1"/>
  <c r="AW68" i="20"/>
  <c r="AV69" i="20"/>
  <c r="T67" i="20"/>
  <c r="S67" i="20"/>
  <c r="R68" i="20"/>
  <c r="AV70" i="20" l="1"/>
  <c r="AW69" i="20"/>
  <c r="AX69" i="20"/>
  <c r="T68" i="20"/>
  <c r="S68" i="20"/>
  <c r="R69" i="20"/>
  <c r="R70" i="20" l="1"/>
  <c r="S69" i="20"/>
  <c r="T69" i="20"/>
  <c r="AX70" i="20"/>
  <c r="AV71" i="20"/>
  <c r="AW70" i="20"/>
  <c r="AX71" i="20" l="1"/>
  <c r="AW71" i="20"/>
  <c r="AV72" i="20"/>
  <c r="R71" i="20"/>
  <c r="T70" i="20"/>
  <c r="S70" i="20"/>
  <c r="R72" i="20" l="1"/>
  <c r="T71" i="20"/>
  <c r="S71" i="20"/>
  <c r="AV73" i="20"/>
  <c r="AX72" i="20"/>
  <c r="AW72" i="20"/>
  <c r="T72" i="20" l="1"/>
  <c r="R73" i="20"/>
  <c r="S72" i="20"/>
  <c r="AV74" i="20"/>
  <c r="AW73" i="20"/>
  <c r="AX73" i="20"/>
  <c r="AX74" i="20" l="1"/>
  <c r="AV75" i="20"/>
  <c r="AW74" i="20"/>
  <c r="T73" i="20"/>
  <c r="S73" i="20"/>
  <c r="R74" i="20"/>
  <c r="AX75" i="20" l="1"/>
  <c r="AW75" i="20"/>
  <c r="AV76" i="20"/>
  <c r="S74" i="20"/>
  <c r="R75" i="20"/>
  <c r="T74" i="20"/>
  <c r="AW76" i="20" l="1"/>
  <c r="AX76" i="20"/>
  <c r="AV77" i="20"/>
  <c r="S75" i="20"/>
  <c r="T75" i="20"/>
  <c r="R76" i="20"/>
  <c r="S76" i="20" l="1"/>
  <c r="T76" i="20"/>
  <c r="R77" i="20"/>
  <c r="AV78" i="20"/>
  <c r="AX77" i="20"/>
  <c r="AW77" i="20"/>
  <c r="AV79" i="20" l="1"/>
  <c r="AX78" i="20"/>
  <c r="AW78" i="20"/>
  <c r="R78" i="20"/>
  <c r="T77" i="20"/>
  <c r="S77" i="20"/>
  <c r="R79" i="20" l="1"/>
  <c r="T78" i="20"/>
  <c r="S78" i="20"/>
  <c r="AV80" i="20"/>
  <c r="AW79" i="20"/>
  <c r="AX79" i="20"/>
  <c r="AW80" i="20" l="1"/>
  <c r="AX80" i="20"/>
  <c r="AV81" i="20"/>
  <c r="T79" i="20"/>
  <c r="S79" i="20"/>
  <c r="R80" i="20"/>
  <c r="AW81" i="20" l="1"/>
  <c r="AX81" i="20"/>
  <c r="AV82" i="20"/>
  <c r="T80" i="20"/>
  <c r="S80" i="20"/>
  <c r="R81" i="20"/>
  <c r="AW82" i="20" l="1"/>
  <c r="AV83" i="20"/>
  <c r="AX82" i="20"/>
  <c r="T81" i="20"/>
  <c r="S81" i="20"/>
  <c r="R82" i="20"/>
  <c r="T82" i="20" l="1"/>
  <c r="S82" i="20"/>
  <c r="R83" i="20"/>
  <c r="AX83" i="20"/>
  <c r="AV84" i="20"/>
  <c r="AW83" i="20"/>
  <c r="AW84" i="20" l="1"/>
  <c r="AX84" i="20"/>
  <c r="AV85" i="20"/>
  <c r="T83" i="20"/>
  <c r="S83" i="20"/>
  <c r="R84" i="20"/>
  <c r="S84" i="20" l="1"/>
  <c r="T84" i="20"/>
  <c r="R85" i="20"/>
  <c r="AX85" i="20"/>
  <c r="AW85" i="20"/>
  <c r="S85" i="20" l="1"/>
  <c r="T85" i="20"/>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<sst xmlns="http://schemas.openxmlformats.org/spreadsheetml/2006/main" count="2408" uniqueCount="1117">
  <si>
    <t>Sensitivities</t>
  </si>
  <si>
    <t>Evaluation Parameters</t>
  </si>
  <si>
    <t>K$</t>
  </si>
  <si>
    <t>MMSCFD</t>
  </si>
  <si>
    <t>BCF</t>
  </si>
  <si>
    <t>Discount Date</t>
  </si>
  <si>
    <t>NPV</t>
  </si>
  <si>
    <t>IRR</t>
  </si>
  <si>
    <t>DROI</t>
  </si>
  <si>
    <t>Committed DROI</t>
  </si>
  <si>
    <t>Royalty Calculation ($M)</t>
  </si>
  <si>
    <t>Loss Rec</t>
  </si>
  <si>
    <t>Royalty Rec</t>
  </si>
  <si>
    <t>Total</t>
  </si>
  <si>
    <t>Year</t>
  </si>
  <si>
    <t>Revenue</t>
  </si>
  <si>
    <t>Pre-Devel</t>
  </si>
  <si>
    <t>Capital</t>
  </si>
  <si>
    <t>Operating</t>
  </si>
  <si>
    <t>Abandonment</t>
  </si>
  <si>
    <t>Pre-Payout</t>
  </si>
  <si>
    <t>Allowable</t>
  </si>
  <si>
    <t>Simple Payout</t>
  </si>
  <si>
    <t>Months</t>
  </si>
  <si>
    <t xml:space="preserve">Weighted </t>
  </si>
  <si>
    <t>Return Allowance</t>
  </si>
  <si>
    <t>Payout Balances</t>
  </si>
  <si>
    <t>Cum Prod</t>
  </si>
  <si>
    <t>Months at Royalty Rate</t>
  </si>
  <si>
    <t>Net</t>
  </si>
  <si>
    <t>Full Year Royalty Liability at each Tier</t>
  </si>
  <si>
    <t xml:space="preserve"> Royalty Liability at each Tier</t>
  </si>
  <si>
    <t xml:space="preserve">Royalty </t>
  </si>
  <si>
    <t xml:space="preserve">Loss To </t>
  </si>
  <si>
    <t xml:space="preserve">Profit for </t>
  </si>
  <si>
    <t>Loss</t>
  </si>
  <si>
    <t>Revised</t>
  </si>
  <si>
    <t>Repayment</t>
  </si>
  <si>
    <t>Royalty</t>
  </si>
  <si>
    <t>Royalty with</t>
  </si>
  <si>
    <t>Payout Month</t>
  </si>
  <si>
    <t>Costs</t>
  </si>
  <si>
    <t>Cost</t>
  </si>
  <si>
    <t>Full-year</t>
  </si>
  <si>
    <t>Field Costs</t>
  </si>
  <si>
    <t>Closing</t>
  </si>
  <si>
    <t>Av Bal</t>
  </si>
  <si>
    <t>Primary</t>
  </si>
  <si>
    <t>Secondary</t>
  </si>
  <si>
    <t>Final</t>
  </si>
  <si>
    <t>Pre-Payout GR</t>
  </si>
  <si>
    <t>Post-Payout GR</t>
  </si>
  <si>
    <t>Tier 1 NR</t>
  </si>
  <si>
    <t>Tier 2 NR</t>
  </si>
  <si>
    <t>Liability</t>
  </si>
  <si>
    <t>Carry Back</t>
  </si>
  <si>
    <t>Recovered</t>
  </si>
  <si>
    <t>Index</t>
  </si>
  <si>
    <t>Amount</t>
  </si>
  <si>
    <t>Abandon</t>
  </si>
  <si>
    <t>Simple</t>
  </si>
  <si>
    <t>Balance</t>
  </si>
  <si>
    <t>Receipt</t>
  </si>
  <si>
    <t>Historic</t>
  </si>
  <si>
    <t>Discount Rate</t>
  </si>
  <si>
    <t>Discount To</t>
  </si>
  <si>
    <t>Decision Date</t>
  </si>
  <si>
    <t>Run Seismic</t>
  </si>
  <si>
    <t>Drill Wildcat</t>
  </si>
  <si>
    <t>Appraise Reservoir</t>
  </si>
  <si>
    <t>Plan Development</t>
  </si>
  <si>
    <t>Develop Field</t>
  </si>
  <si>
    <t>Economic Scenario</t>
  </si>
  <si>
    <t>Cost Set</t>
  </si>
  <si>
    <t>Project Parameters</t>
  </si>
  <si>
    <t>Project Name</t>
  </si>
  <si>
    <t>Prospect X</t>
  </si>
  <si>
    <t>Current Project Stage</t>
  </si>
  <si>
    <t>Seismic</t>
  </si>
  <si>
    <t>Start Date</t>
  </si>
  <si>
    <t>Development Method</t>
  </si>
  <si>
    <t>First Production Date</t>
  </si>
  <si>
    <t>Infrastructure Type</t>
  </si>
  <si>
    <t>Abandonment Date</t>
  </si>
  <si>
    <t>Export Distance (km)</t>
  </si>
  <si>
    <t>Risk Parameters</t>
  </si>
  <si>
    <t>Wildcat</t>
  </si>
  <si>
    <t>Appraisal</t>
  </si>
  <si>
    <t>Development Planning</t>
  </si>
  <si>
    <t>Technical Parameters</t>
  </si>
  <si>
    <t>Reservoir Depth (m MSL)</t>
  </si>
  <si>
    <t>Reservoir Complexity</t>
  </si>
  <si>
    <t>Medium</t>
  </si>
  <si>
    <t xml:space="preserve">Areal Extent Factor </t>
  </si>
  <si>
    <t>Reservoir Pressure</t>
  </si>
  <si>
    <t>Normally Pressured</t>
  </si>
  <si>
    <t>Gas Calorific Value (btu/scf)</t>
  </si>
  <si>
    <t>Liquid Yield (bbl/mcf)</t>
  </si>
  <si>
    <t>Gas Type</t>
  </si>
  <si>
    <t>Sweet</t>
  </si>
  <si>
    <t>Water Depth (metres)</t>
  </si>
  <si>
    <t>Total Costs</t>
  </si>
  <si>
    <t>Tax / Royalty Parameters</t>
  </si>
  <si>
    <t>Small Reserves for Royalty</t>
  </si>
  <si>
    <t>No</t>
  </si>
  <si>
    <t>High Risk for Royalty</t>
  </si>
  <si>
    <t>Yes</t>
  </si>
  <si>
    <t>Discounted Return on Investment</t>
  </si>
  <si>
    <t>Flow-through for Tax</t>
  </si>
  <si>
    <t>Development Stage</t>
  </si>
  <si>
    <t>Reserves</t>
  </si>
  <si>
    <t>Reservoir Depth</t>
  </si>
  <si>
    <t>Reservoir Depth (metres)</t>
  </si>
  <si>
    <t>Economics Scenario</t>
  </si>
  <si>
    <t>Base</t>
  </si>
  <si>
    <t>Low</t>
  </si>
  <si>
    <t>High</t>
  </si>
  <si>
    <t>Gas Price</t>
  </si>
  <si>
    <t>Exploration Costs</t>
  </si>
  <si>
    <t>Capital Costs</t>
  </si>
  <si>
    <t>Operating Costs</t>
  </si>
  <si>
    <t>Chance of Development</t>
  </si>
  <si>
    <t>Economic Parameters</t>
  </si>
  <si>
    <t>Project Stage</t>
  </si>
  <si>
    <t>Probability</t>
  </si>
  <si>
    <t>Risked Total ($M)</t>
  </si>
  <si>
    <t>Success Case Cash Flow ($M)</t>
  </si>
  <si>
    <t>Gas Revenue</t>
  </si>
  <si>
    <t>Liquids Revenue</t>
  </si>
  <si>
    <t>Total Revenue</t>
  </si>
  <si>
    <t>Facilities &amp; Pipelines</t>
  </si>
  <si>
    <t>Development Drilling</t>
  </si>
  <si>
    <t>Operations</t>
  </si>
  <si>
    <t>Provincial Income Tax</t>
  </si>
  <si>
    <t>Federal Income Tax</t>
  </si>
  <si>
    <t>Net Cash Flow</t>
  </si>
  <si>
    <t>Overriden Cost and Production</t>
  </si>
  <si>
    <t>Seismic Costs &amp; Schedule</t>
  </si>
  <si>
    <t>Model Calculated</t>
  </si>
  <si>
    <t>Input</t>
  </si>
  <si>
    <t xml:space="preserve">Input </t>
  </si>
  <si>
    <t>Duration</t>
  </si>
  <si>
    <t>(days)</t>
  </si>
  <si>
    <t>Seismic Processing</t>
  </si>
  <si>
    <t>Wildcat Costs &amp; Schedule</t>
  </si>
  <si>
    <t>Wildcat Review</t>
  </si>
  <si>
    <t>Appraisal Costs &amp; Schedule</t>
  </si>
  <si>
    <t>Appraisal Well 1</t>
  </si>
  <si>
    <t>Appraisal Well 2</t>
  </si>
  <si>
    <t>Appraisal Well 3</t>
  </si>
  <si>
    <t>Appraisal Well 4</t>
  </si>
  <si>
    <t>Appraisal Well 5</t>
  </si>
  <si>
    <t>Preliminary Engineering Cost</t>
  </si>
  <si>
    <t>days</t>
  </si>
  <si>
    <t>Uninflated Capital Costs, Production and Operating Costs from Development Start (M$)</t>
  </si>
  <si>
    <t>Main</t>
  </si>
  <si>
    <t>Topsides</t>
  </si>
  <si>
    <t>Subsea &amp;</t>
  </si>
  <si>
    <t>Export</t>
  </si>
  <si>
    <t>Engineering</t>
  </si>
  <si>
    <t>Contingency</t>
  </si>
  <si>
    <t>Gas Production</t>
  </si>
  <si>
    <t>Wells</t>
  </si>
  <si>
    <t>Structure</t>
  </si>
  <si>
    <t>Flowlines</t>
  </si>
  <si>
    <t>Pipeline</t>
  </si>
  <si>
    <t>&amp; Proj Man</t>
  </si>
  <si>
    <t>(BCF)</t>
  </si>
  <si>
    <t>Year from Development Start</t>
  </si>
  <si>
    <t>Abandonment Cost</t>
  </si>
  <si>
    <t>Abadonment Cost (M$)</t>
  </si>
  <si>
    <t>CDE Opening Balance</t>
  </si>
  <si>
    <t>CEE Opening Balance</t>
  </si>
  <si>
    <t>Exploration Schedule and Costs Model</t>
  </si>
  <si>
    <t>Probabilities</t>
  </si>
  <si>
    <t xml:space="preserve">Development </t>
  </si>
  <si>
    <t>No. of Appraisal Wells</t>
  </si>
  <si>
    <t>Override Seismic?</t>
  </si>
  <si>
    <t>Override Wildcat?</t>
  </si>
  <si>
    <t>Override Appraisal?</t>
  </si>
  <si>
    <t>Pressure Factor</t>
  </si>
  <si>
    <t>Calculated</t>
  </si>
  <si>
    <t>Selected</t>
  </si>
  <si>
    <t>Count</t>
  </si>
  <si>
    <t>Start</t>
  </si>
  <si>
    <t xml:space="preserve">End </t>
  </si>
  <si>
    <t>Start Year</t>
  </si>
  <si>
    <t>End Year</t>
  </si>
  <si>
    <t>appraisal cost risk adjustment factor</t>
  </si>
  <si>
    <t>Depth</t>
  </si>
  <si>
    <t>Lag</t>
  </si>
  <si>
    <t>Cost ($K)</t>
  </si>
  <si>
    <t>End Date</t>
  </si>
  <si>
    <t>Cost ($M)</t>
  </si>
  <si>
    <t>Percent</t>
  </si>
  <si>
    <t>Costs ($M)</t>
  </si>
  <si>
    <t>seismic</t>
  </si>
  <si>
    <t>The cost risk factor for appraisal is adjusted to account for some abortive appraisal programs requiring less wells.  It is assumed that the number of wells in abortive programs is uniformly distributed between 1 and n, where n is the number of wells in the successful program.  The equation for the factor is (where p is the probability of proceeding to development planning) : p+(1-p)*(n+1)/(2*n)</t>
  </si>
  <si>
    <t>wildcat</t>
  </si>
  <si>
    <t>app</t>
  </si>
  <si>
    <t>dev plan</t>
  </si>
  <si>
    <t>total</t>
  </si>
  <si>
    <t>cee</t>
  </si>
  <si>
    <t>cde</t>
  </si>
  <si>
    <t>cca41</t>
  </si>
  <si>
    <t>Unrisked &amp; Uninflated Costs ($M)</t>
  </si>
  <si>
    <t>Risked &amp; Inflated Costs ($M)</t>
  </si>
  <si>
    <t>CEE</t>
  </si>
  <si>
    <t>Processing</t>
  </si>
  <si>
    <t>Review</t>
  </si>
  <si>
    <t>Well 1</t>
  </si>
  <si>
    <t>Well 2</t>
  </si>
  <si>
    <t>Well 3</t>
  </si>
  <si>
    <t>Well 4</t>
  </si>
  <si>
    <t>Well 5</t>
  </si>
  <si>
    <t>Exploration</t>
  </si>
  <si>
    <t>Development Schedule and Costs Model</t>
  </si>
  <si>
    <t>Override Prelim Eng</t>
  </si>
  <si>
    <t>Preliminary Engineering</t>
  </si>
  <si>
    <t>Month</t>
  </si>
  <si>
    <t>Submit for Regulatory Approval</t>
  </si>
  <si>
    <t>Development Approval</t>
  </si>
  <si>
    <t>Development Start</t>
  </si>
  <si>
    <t>Year 1</t>
  </si>
  <si>
    <t>Year 2</t>
  </si>
  <si>
    <t>Drilling &amp; Completion</t>
  </si>
  <si>
    <t>drill</t>
  </si>
  <si>
    <t>complete</t>
  </si>
  <si>
    <t>cost ($K)</t>
  </si>
  <si>
    <t>Keeper Appraisal Wells</t>
  </si>
  <si>
    <t>Platform Keeper Wells</t>
  </si>
  <si>
    <t>Subsea Keeper Wells</t>
  </si>
  <si>
    <t>No. Of New D&amp;C wells</t>
  </si>
  <si>
    <t>No. Of Predrill Wells</t>
  </si>
  <si>
    <t>New Subsea Wells (D&amp;C)</t>
  </si>
  <si>
    <t>No. Of  Subsea Wells</t>
  </si>
  <si>
    <t>Depths and Lengths</t>
  </si>
  <si>
    <t>metres</t>
  </si>
  <si>
    <t>Av Subsea Flowline Bundle Length</t>
  </si>
  <si>
    <t>km</t>
  </si>
  <si>
    <t>Export Pipeline Length</t>
  </si>
  <si>
    <t>Well Program and Cost Phasing</t>
  </si>
  <si>
    <t>time</t>
  </si>
  <si>
    <t>wells at</t>
  </si>
  <si>
    <t>Year1</t>
  </si>
  <si>
    <t>Year2</t>
  </si>
  <si>
    <t>Year3</t>
  </si>
  <si>
    <t>Year4</t>
  </si>
  <si>
    <t>Year 5</t>
  </si>
  <si>
    <t>1st prod</t>
  </si>
  <si>
    <t>Completions</t>
  </si>
  <si>
    <t>New Platform D&amp;C Wells</t>
  </si>
  <si>
    <t>Predrill Wells</t>
  </si>
  <si>
    <t>First Production</t>
  </si>
  <si>
    <t>Wells at 1st Production</t>
  </si>
  <si>
    <t>End Drilling</t>
  </si>
  <si>
    <t>Base Times</t>
  </si>
  <si>
    <t>Time</t>
  </si>
  <si>
    <t>Install</t>
  </si>
  <si>
    <t>Jackup Construct</t>
  </si>
  <si>
    <t>Platform Construct</t>
  </si>
  <si>
    <t>Subsea Manifold</t>
  </si>
  <si>
    <t>Topsides (fixed platform)</t>
  </si>
  <si>
    <t>Subsea Flowlines</t>
  </si>
  <si>
    <t>Export Pipeline</t>
  </si>
  <si>
    <t>Selected Times and Costs</t>
  </si>
  <si>
    <t>Onshore</t>
  </si>
  <si>
    <t>Offshore</t>
  </si>
  <si>
    <t>Time before</t>
  </si>
  <si>
    <t>Facilities</t>
  </si>
  <si>
    <t>install</t>
  </si>
  <si>
    <t>1st Third</t>
  </si>
  <si>
    <t>2nd Third</t>
  </si>
  <si>
    <t>MainStructure / Manifold</t>
  </si>
  <si>
    <t>Topside Facilities</t>
  </si>
  <si>
    <t>Subsea Surface &amp; Flowlines</t>
  </si>
  <si>
    <t>Engineering &amp; Project Management</t>
  </si>
  <si>
    <t>max time</t>
  </si>
  <si>
    <t>Overridden Capital Costs ($M)</t>
  </si>
  <si>
    <t>Inflated Capital Costs ($M)</t>
  </si>
  <si>
    <t>Inflated Post Abandon ($M)</t>
  </si>
  <si>
    <t>Tax Classes ($M)</t>
  </si>
  <si>
    <t>Royalty ($M)</t>
  </si>
  <si>
    <t>Risked Development ($M)</t>
  </si>
  <si>
    <t>Unrisked Pre-inflated Capital Costs ($M)</t>
  </si>
  <si>
    <t>Override</t>
  </si>
  <si>
    <t>current</t>
  </si>
  <si>
    <t>prev</t>
  </si>
  <si>
    <t>Main Structure</t>
  </si>
  <si>
    <t>Subsea &amp; Flowline</t>
  </si>
  <si>
    <t>Engineering &amp; Proj Man</t>
  </si>
  <si>
    <t>Devel Year</t>
  </si>
  <si>
    <t>Prelim Eng</t>
  </si>
  <si>
    <t>CDE</t>
  </si>
  <si>
    <t>CCA41</t>
  </si>
  <si>
    <t>CCA8 / CCA 49</t>
  </si>
  <si>
    <t>Capital for Royalty</t>
  </si>
  <si>
    <t>Unrisked Facilities</t>
  </si>
  <si>
    <t>uplift</t>
  </si>
  <si>
    <t>Gas and Liquids Production Model</t>
  </si>
  <si>
    <t>Production Date</t>
  </si>
  <si>
    <t>Production Year</t>
  </si>
  <si>
    <t>Production Month</t>
  </si>
  <si>
    <t>Time to Plateau</t>
  </si>
  <si>
    <t>Days</t>
  </si>
  <si>
    <t>min - no plateau</t>
  </si>
  <si>
    <t>Initial Rate</t>
  </si>
  <si>
    <t>Plateau Rate</t>
  </si>
  <si>
    <t>adjusted Plateau Rate</t>
  </si>
  <si>
    <t>Reserves end Plateau</t>
  </si>
  <si>
    <t>Decline per Year</t>
  </si>
  <si>
    <t>Ramp Rate</t>
  </si>
  <si>
    <t>exponential factor</t>
  </si>
  <si>
    <t>decline length</t>
  </si>
  <si>
    <t>Dates</t>
  </si>
  <si>
    <t>bcf</t>
  </si>
  <si>
    <t>At Plateau</t>
  </si>
  <si>
    <t>End Plateau</t>
  </si>
  <si>
    <t>Override Sales Volumes</t>
  </si>
  <si>
    <t>Sales Volume</t>
  </si>
  <si>
    <t>Risked Sales Post Abandon</t>
  </si>
  <si>
    <t>Unrisked Sales Post Abandonment</t>
  </si>
  <si>
    <t>Post Abandonment</t>
  </si>
  <si>
    <t>Ramp</t>
  </si>
  <si>
    <t>Plateau</t>
  </si>
  <si>
    <t>Decline</t>
  </si>
  <si>
    <t>Av rate</t>
  </si>
  <si>
    <t>Av Rate</t>
  </si>
  <si>
    <t>Prod</t>
  </si>
  <si>
    <t>Gas</t>
  </si>
  <si>
    <t>Devel year</t>
  </si>
  <si>
    <t>Condensate</t>
  </si>
  <si>
    <t>ratio</t>
  </si>
  <si>
    <t>MMBOE</t>
  </si>
  <si>
    <t>MBOE/day</t>
  </si>
  <si>
    <t>Revenue Calculations</t>
  </si>
  <si>
    <t>Unrisked Revenue Pre Abandon</t>
  </si>
  <si>
    <t>Revenue Post Abandon</t>
  </si>
  <si>
    <t>Risked Revenue Post Abandonment</t>
  </si>
  <si>
    <t>Unrisked Post Abandon</t>
  </si>
  <si>
    <t xml:space="preserve">Gas </t>
  </si>
  <si>
    <t>Sales</t>
  </si>
  <si>
    <t>Price</t>
  </si>
  <si>
    <t>$/MCF</t>
  </si>
  <si>
    <t>$M</t>
  </si>
  <si>
    <t>$/BBL</t>
  </si>
  <si>
    <t>Operating Costs Model</t>
  </si>
  <si>
    <t>Facility Type</t>
  </si>
  <si>
    <t>Row</t>
  </si>
  <si>
    <t>Facility Fixed</t>
  </si>
  <si>
    <t>M$/year</t>
  </si>
  <si>
    <t>Facility Variable</t>
  </si>
  <si>
    <t>Export Rate</t>
  </si>
  <si>
    <t>Subsea Intervention</t>
  </si>
  <si>
    <t>M$/year/well</t>
  </si>
  <si>
    <t>Surface Intervention</t>
  </si>
  <si>
    <t>Override Operating Cost</t>
  </si>
  <si>
    <t>Override ($M)</t>
  </si>
  <si>
    <t>Inflated ($M)</t>
  </si>
  <si>
    <t>Post Abandon ($M)</t>
  </si>
  <si>
    <t>Risked Post Abandon ($M)</t>
  </si>
  <si>
    <t>Well</t>
  </si>
  <si>
    <t>Tariff</t>
  </si>
  <si>
    <t>for Royalty</t>
  </si>
  <si>
    <t>Intervention</t>
  </si>
  <si>
    <t>probability</t>
  </si>
  <si>
    <t>Abandonment Schedule &amp; Costs Model</t>
  </si>
  <si>
    <t>Devl Year</t>
  </si>
  <si>
    <t>Abandon Year</t>
  </si>
  <si>
    <t>Abandon Cost</t>
  </si>
  <si>
    <t>Adjusted</t>
  </si>
  <si>
    <t>Resource Life</t>
  </si>
  <si>
    <t>Unrisked Development Cash Flows ($M)</t>
  </si>
  <si>
    <t>Cum</t>
  </si>
  <si>
    <t>Risked</t>
  </si>
  <si>
    <t>Cash Flow</t>
  </si>
  <si>
    <t>Flag</t>
  </si>
  <si>
    <t>Federal Corporate Income Tax Calculation ($M)</t>
  </si>
  <si>
    <t>Adjusted to</t>
  </si>
  <si>
    <t>Costs for</t>
  </si>
  <si>
    <t>Opening</t>
  </si>
  <si>
    <t>CCA8 / CCA49</t>
  </si>
  <si>
    <t>Resource</t>
  </si>
  <si>
    <t>Profit before</t>
  </si>
  <si>
    <t>Loss to cb</t>
  </si>
  <si>
    <t>avail cb</t>
  </si>
  <si>
    <t>Loss to</t>
  </si>
  <si>
    <t>Taxable</t>
  </si>
  <si>
    <t>Tax Rate</t>
  </si>
  <si>
    <t>Tax</t>
  </si>
  <si>
    <t>for CCA41</t>
  </si>
  <si>
    <t>First Prod</t>
  </si>
  <si>
    <t xml:space="preserve"> CCA8 / CCA49</t>
  </si>
  <si>
    <t>Profit</t>
  </si>
  <si>
    <t>For CDE</t>
  </si>
  <si>
    <t>Loss cb/cf</t>
  </si>
  <si>
    <t>next period</t>
  </si>
  <si>
    <t>Carry Forward</t>
  </si>
  <si>
    <t>Provincial Corporate Income Tax Calculation ($M)</t>
  </si>
  <si>
    <t>Provincial</t>
  </si>
  <si>
    <t>Federal</t>
  </si>
  <si>
    <t>Cumulative</t>
  </si>
  <si>
    <t>Payout</t>
  </si>
  <si>
    <t>Before Tax</t>
  </si>
  <si>
    <t>Income Tax</t>
  </si>
  <si>
    <t>Gov. Take</t>
  </si>
  <si>
    <t>After Tax</t>
  </si>
  <si>
    <t>Date</t>
  </si>
  <si>
    <t>% 1st year</t>
  </si>
  <si>
    <t>1st Year</t>
  </si>
  <si>
    <t>year1 df</t>
  </si>
  <si>
    <t>transposed Discount Factor</t>
  </si>
  <si>
    <t>committed</t>
  </si>
  <si>
    <t xml:space="preserve">Discount </t>
  </si>
  <si>
    <t>Investment</t>
  </si>
  <si>
    <t>Factor</t>
  </si>
  <si>
    <t>1st  year</t>
  </si>
  <si>
    <t>Selected Economic Assumptions</t>
  </si>
  <si>
    <t>Scenario</t>
  </si>
  <si>
    <t>Offset</t>
  </si>
  <si>
    <t>Estimate Year</t>
  </si>
  <si>
    <t>Ring Fence</t>
  </si>
  <si>
    <t xml:space="preserve">Ring Fence </t>
  </si>
  <si>
    <t>Exchange Rate</t>
  </si>
  <si>
    <t xml:space="preserve">Cost </t>
  </si>
  <si>
    <t>Long-term</t>
  </si>
  <si>
    <t>Inflation</t>
  </si>
  <si>
    <t xml:space="preserve">Gas Price </t>
  </si>
  <si>
    <t>Bond</t>
  </si>
  <si>
    <t>US$/BBL</t>
  </si>
  <si>
    <t>US$/MMBTU</t>
  </si>
  <si>
    <t>US$/$Cdn</t>
  </si>
  <si>
    <t>Rate</t>
  </si>
  <si>
    <t>General Production and Schedule Assumptions</t>
  </si>
  <si>
    <t>Profile Parameters</t>
  </si>
  <si>
    <t>%</t>
  </si>
  <si>
    <t>on Plateau</t>
  </si>
  <si>
    <t>BOE Factor (MSCF/BBL)</t>
  </si>
  <si>
    <t>Well Productivity Parameters</t>
  </si>
  <si>
    <t>Bcf per well</t>
  </si>
  <si>
    <t>Aerial Extent</t>
  </si>
  <si>
    <t>Multiplier</t>
  </si>
  <si>
    <t>Reservoir Complexity Multiplier on Number of Wells</t>
  </si>
  <si>
    <t>Reservoir Pressure Type</t>
  </si>
  <si>
    <t>Subsea Bundle Length (km)</t>
  </si>
  <si>
    <t>Length</t>
  </si>
  <si>
    <t>Number of Appraisal Wells (Success Case)</t>
  </si>
  <si>
    <t>Number</t>
  </si>
  <si>
    <t>Construct &amp; Installation times</t>
  </si>
  <si>
    <t>Onshore Fabrication</t>
  </si>
  <si>
    <t>Offshore Installation</t>
  </si>
  <si>
    <t>Fixed</t>
  </si>
  <si>
    <t>Variable</t>
  </si>
  <si>
    <t>per</t>
  </si>
  <si>
    <t>metre</t>
  </si>
  <si>
    <t>well</t>
  </si>
  <si>
    <t>Buffer Time</t>
  </si>
  <si>
    <t>General Cost &amp; Time Assumptions</t>
  </si>
  <si>
    <t>Selected Set</t>
  </si>
  <si>
    <t>Set1</t>
  </si>
  <si>
    <t>Set2</t>
  </si>
  <si>
    <t>Set3</t>
  </si>
  <si>
    <t>Set4</t>
  </si>
  <si>
    <t>Name</t>
  </si>
  <si>
    <t>Estimate Date</t>
  </si>
  <si>
    <t>Shallow Water</t>
  </si>
  <si>
    <t>Deep Water</t>
  </si>
  <si>
    <t>Set No.</t>
  </si>
  <si>
    <t>Seismic &amp; Fixed Times</t>
  </si>
  <si>
    <t>Seismic Program Time</t>
  </si>
  <si>
    <t>Seismic Program Cost</t>
  </si>
  <si>
    <t>Seismic Processing Time</t>
  </si>
  <si>
    <t>Seismic Processing Cost</t>
  </si>
  <si>
    <t>Processing to Wildcat Time</t>
  </si>
  <si>
    <t>Wildcat Review Time</t>
  </si>
  <si>
    <t>Widcat Review Cost</t>
  </si>
  <si>
    <t>Wildcat to Appraisal Time</t>
  </si>
  <si>
    <t>Appraisal Review Time</t>
  </si>
  <si>
    <t>Appraisal Review Cost</t>
  </si>
  <si>
    <t>Time Between Appraisal Wells</t>
  </si>
  <si>
    <t>Appraisal to Preliminary Engineering</t>
  </si>
  <si>
    <t>Prelim Eng &amp; Regulatory Prep</t>
  </si>
  <si>
    <t>Regulatory Approval</t>
  </si>
  <si>
    <t xml:space="preserve">Rig Rate </t>
  </si>
  <si>
    <t>$/day</t>
  </si>
  <si>
    <t>Exploration / Appraisal Well Drilling</t>
  </si>
  <si>
    <t>Fixed Cost per well</t>
  </si>
  <si>
    <t>$/metre</t>
  </si>
  <si>
    <t>Variable Cost per day (non-rig)</t>
  </si>
  <si>
    <t>Fixed days</t>
  </si>
  <si>
    <t>Average metres / day</t>
  </si>
  <si>
    <t>metre/day</t>
  </si>
  <si>
    <t>Development Well Drilling</t>
  </si>
  <si>
    <t>Well Completion</t>
  </si>
  <si>
    <t>fixed</t>
  </si>
  <si>
    <t>Fixed Cost per metre</t>
  </si>
  <si>
    <t>var</t>
  </si>
  <si>
    <t>Reenter &amp; clean keeper</t>
  </si>
  <si>
    <t>Renenter predrill</t>
  </si>
  <si>
    <t>Fixed Cost</t>
  </si>
  <si>
    <t>Variable Cost</t>
  </si>
  <si>
    <t>$/mcf</t>
  </si>
  <si>
    <t>Fixed Platform Fixed Cost</t>
  </si>
  <si>
    <t>K$/metre</t>
  </si>
  <si>
    <t>Fixed Platform Topside Fixed Cost</t>
  </si>
  <si>
    <t>Fixed Platform Variable Cost</t>
  </si>
  <si>
    <t>K$/MMSCFD</t>
  </si>
  <si>
    <t>Production Jack-up Fixed Cost</t>
  </si>
  <si>
    <t>Production Jack-up Topside Fixed Cost</t>
  </si>
  <si>
    <t>Jack-up Topside Variable Cost</t>
  </si>
  <si>
    <t>Additional Fixed Process Cost Sour Gas</t>
  </si>
  <si>
    <t>Additional Variable Process Cost Sour Gas</t>
  </si>
  <si>
    <t>Subsea Well Flowline Bundle</t>
  </si>
  <si>
    <t>K$/Km</t>
  </si>
  <si>
    <t>Subsea Manifold Fixed Cost</t>
  </si>
  <si>
    <t xml:space="preserve">Subsea Manifold Cost </t>
  </si>
  <si>
    <t>K$/well</t>
  </si>
  <si>
    <t>Export to Shore Pipeline Fixed Cost</t>
  </si>
  <si>
    <t>Export to Shore Pipeline Variable Cost</t>
  </si>
  <si>
    <t>K$/km</t>
  </si>
  <si>
    <t>Satellite Pipeline Fixed Cost - Sweet</t>
  </si>
  <si>
    <t>Satellite Pipeline Variable Cost - Sweet</t>
  </si>
  <si>
    <t>Satellite Pipeline Fixed Cost - Sour</t>
  </si>
  <si>
    <t>Satellite Pipeline Variable Cost - Sour</t>
  </si>
  <si>
    <t>Subsea Export Bundle Fixed Cost - Sweet</t>
  </si>
  <si>
    <t>Subsea Export Bundle Variable Cost - Sweet</t>
  </si>
  <si>
    <t>Subsea Export Bundle Fixed Cost - Sour</t>
  </si>
  <si>
    <t>Subsea Export Bundle Variable Cost - Sour</t>
  </si>
  <si>
    <t xml:space="preserve">Engineering and Project Management </t>
  </si>
  <si>
    <t>Facilities Contingency</t>
  </si>
  <si>
    <t>Fixed Platform Fixed</t>
  </si>
  <si>
    <t>Fixed Platform per depth</t>
  </si>
  <si>
    <t>Jack-up Fixed Cost</t>
  </si>
  <si>
    <t>Cost per Surface Well</t>
  </si>
  <si>
    <t>Cost per Subsea Well &amp; Flowline Bundle</t>
  </si>
  <si>
    <t>Export Pipeline variable cost</t>
  </si>
  <si>
    <t>Satellite Pipeline variable cost</t>
  </si>
  <si>
    <t>Platform &amp; Jack-up Facilities</t>
  </si>
  <si>
    <t xml:space="preserve">Fixed Cost /Year </t>
  </si>
  <si>
    <t>subsea</t>
  </si>
  <si>
    <t>basic process, water knock out</t>
  </si>
  <si>
    <t>full process, sweet</t>
  </si>
  <si>
    <t>full process, sour</t>
  </si>
  <si>
    <t>Fixed Cost /Year / Capacity</t>
  </si>
  <si>
    <t>$/MMSCFD</t>
  </si>
  <si>
    <t>Transport &amp; Process Tariff</t>
  </si>
  <si>
    <t>Satellite to Main Platform - Sweet</t>
  </si>
  <si>
    <t>Satellite to Main Platform - Sour</t>
  </si>
  <si>
    <t>Subsea Process &amp; Transport - Sweet</t>
  </si>
  <si>
    <t>Subsea Process &amp; Transport - Sour</t>
  </si>
  <si>
    <t>Pipelines</t>
  </si>
  <si>
    <t>K$ / km</t>
  </si>
  <si>
    <t>Subsea Intervention Cost</t>
  </si>
  <si>
    <t>Surface Intervention Cost</t>
  </si>
  <si>
    <t>Intervention Frequency / Well</t>
  </si>
  <si>
    <t>years</t>
  </si>
  <si>
    <t>Economic Scenarios</t>
  </si>
  <si>
    <t>Scenario 1</t>
  </si>
  <si>
    <t>Scenario 2</t>
  </si>
  <si>
    <t>Scenario 3</t>
  </si>
  <si>
    <t>Scenario 4</t>
  </si>
  <si>
    <t>Scenario 5</t>
  </si>
  <si>
    <t xml:space="preserve">Exchange </t>
  </si>
  <si>
    <t>Royalty and Tax Pools</t>
  </si>
  <si>
    <t>Historic Cost For Royalty</t>
  </si>
  <si>
    <t>Capital Cost Set</t>
  </si>
  <si>
    <t>Infrastructure Types</t>
  </si>
  <si>
    <t>A satellite to another platform, that provides processing and compression, platform / jack-up provides basic water knockout</t>
  </si>
  <si>
    <t>Ties-in directly to an export pipeline, delivery processed (and compressed) two phase gas</t>
  </si>
  <si>
    <t>Export to shore of export quality single phase gas</t>
  </si>
  <si>
    <t>Subsea</t>
  </si>
  <si>
    <t>Fixed Platform</t>
  </si>
  <si>
    <t>Facility Finance</t>
  </si>
  <si>
    <t>Purchase</t>
  </si>
  <si>
    <t>All equipment purchased outright</t>
  </si>
  <si>
    <t>Capital Lease</t>
  </si>
  <si>
    <t>Lease of platform / jack-up and topsides facilities</t>
  </si>
  <si>
    <t>Manual Overrides</t>
  </si>
  <si>
    <t>Manual Override</t>
  </si>
  <si>
    <t>YesNo</t>
  </si>
  <si>
    <t>Current Month</t>
  </si>
  <si>
    <t>Current Year</t>
  </si>
  <si>
    <t>Gas Quality</t>
  </si>
  <si>
    <t>Sour</t>
  </si>
  <si>
    <t>devel wells</t>
  </si>
  <si>
    <t>sour gas</t>
  </si>
  <si>
    <t>D&amp;C subsea</t>
  </si>
  <si>
    <t>NA</t>
  </si>
  <si>
    <t>P&amp;C</t>
  </si>
  <si>
    <t>Drill &amp; Process Jack-up</t>
  </si>
  <si>
    <t>Process only Jack-up</t>
  </si>
  <si>
    <t>Facility</t>
  </si>
  <si>
    <t>Basic - with water knockout</t>
  </si>
  <si>
    <t>With processing and compression (phased?)</t>
  </si>
  <si>
    <t>Analysis Type</t>
  </si>
  <si>
    <t>Fully Risked</t>
  </si>
  <si>
    <t>Success Case</t>
  </si>
  <si>
    <t>Economic</t>
  </si>
  <si>
    <t>Uneconomic</t>
  </si>
  <si>
    <t>Gas Pressure Type</t>
  </si>
  <si>
    <t>Discount Type</t>
  </si>
  <si>
    <t>Discount to Current Discount Date</t>
  </si>
  <si>
    <t>Discount to Decision Date</t>
  </si>
  <si>
    <t>Monthtable</t>
  </si>
  <si>
    <t>Jan</t>
  </si>
  <si>
    <t>Feb</t>
  </si>
  <si>
    <t>Mar</t>
  </si>
  <si>
    <t>Apr</t>
  </si>
  <si>
    <t>May</t>
  </si>
  <si>
    <t>Jun</t>
  </si>
  <si>
    <t>Jul</t>
  </si>
  <si>
    <t>Aug</t>
  </si>
  <si>
    <t>Sep</t>
  </si>
  <si>
    <t>Oct</t>
  </si>
  <si>
    <t>Nov</t>
  </si>
  <si>
    <t>Dec</t>
  </si>
  <si>
    <t>Reserves (Bcf)</t>
  </si>
  <si>
    <t>Gas Price Multiplier</t>
  </si>
  <si>
    <t>Exploration Cost Multiplier</t>
  </si>
  <si>
    <t>Capital Cost Multiplier</t>
  </si>
  <si>
    <t>Operating Cost Multiplier</t>
  </si>
  <si>
    <t>Risk Multiplier</t>
  </si>
  <si>
    <t>Reserves Multiplier</t>
  </si>
  <si>
    <t>Capex Multiplier</t>
  </si>
  <si>
    <t>Opex Multiplier</t>
  </si>
  <si>
    <t>Exploration Multiplier</t>
  </si>
  <si>
    <t>Chart Ranges</t>
  </si>
  <si>
    <t>Type</t>
  </si>
  <si>
    <t>Blank</t>
  </si>
  <si>
    <t>Development Costs</t>
  </si>
  <si>
    <t>blue</t>
  </si>
  <si>
    <t>green</t>
  </si>
  <si>
    <t>NPV @ 12.0 % ($M)</t>
  </si>
  <si>
    <t>Product Type</t>
  </si>
  <si>
    <t>Product</t>
  </si>
  <si>
    <t>Oil</t>
  </si>
  <si>
    <t>MMBBL</t>
  </si>
  <si>
    <t>(MMbbls)</t>
  </si>
  <si>
    <t>MMBBLS</t>
  </si>
  <si>
    <t>Value pos</t>
  </si>
  <si>
    <t>Value neg</t>
  </si>
  <si>
    <t>Cost Neg</t>
  </si>
  <si>
    <t>Cost Pos</t>
  </si>
  <si>
    <t>MMBBLs/well</t>
  </si>
  <si>
    <t>Keep Appraisal Wells ?</t>
  </si>
  <si>
    <t>&lt;0</t>
  </si>
  <si>
    <t>&gt;0</t>
  </si>
  <si>
    <t>min</t>
  </si>
  <si>
    <t>max</t>
  </si>
  <si>
    <t>starting point for stack</t>
  </si>
  <si>
    <t>positive portion of min</t>
  </si>
  <si>
    <t>positive portion of max</t>
  </si>
  <si>
    <t>negative portion of max</t>
  </si>
  <si>
    <t>negative portion of min</t>
  </si>
  <si>
    <t>minpos</t>
  </si>
  <si>
    <t>maxpos</t>
  </si>
  <si>
    <t>maxneg</t>
  </si>
  <si>
    <t>lowneg</t>
  </si>
  <si>
    <t>`</t>
  </si>
  <si>
    <t/>
  </si>
  <si>
    <t>OIL</t>
  </si>
  <si>
    <t>GAS</t>
  </si>
  <si>
    <t>Note</t>
  </si>
  <si>
    <t>Release 1</t>
  </si>
  <si>
    <t>No. Of Drilling Centres</t>
  </si>
  <si>
    <t>Platform Centres</t>
  </si>
  <si>
    <t>Subsea Centres</t>
  </si>
  <si>
    <t>Subsea Keeper Wells (location 1)</t>
  </si>
  <si>
    <t>Subsea Keeper Wells (location 2)</t>
  </si>
  <si>
    <t>Subsea Keeper Wells (location 3)</t>
  </si>
  <si>
    <t>Subsea Keeper Wells (location 4)</t>
  </si>
  <si>
    <t>number</t>
  </si>
  <si>
    <t>Location 1 Subsea Keeper Wells</t>
  </si>
  <si>
    <t>Location 2 Subsea Keeper Wells</t>
  </si>
  <si>
    <t>Location 3 Subsea Keeper Wells</t>
  </si>
  <si>
    <t>Location 4 Subsea Keeper Wells</t>
  </si>
  <si>
    <t>Year6</t>
  </si>
  <si>
    <t>Year7</t>
  </si>
  <si>
    <t>Subsea Keeper Wells (location 5)</t>
  </si>
  <si>
    <t>No. Of  Wells</t>
  </si>
  <si>
    <t>No. Of New  Wells</t>
  </si>
  <si>
    <t>Location 5 Subsea Keeper Wells</t>
  </si>
  <si>
    <t>Number of Drilling Centres</t>
  </si>
  <si>
    <t>Jack-up</t>
  </si>
  <si>
    <t>Shuttle Tanker</t>
  </si>
  <si>
    <t>Other</t>
  </si>
  <si>
    <t>Devel Method</t>
  </si>
  <si>
    <t>Devel Options</t>
  </si>
  <si>
    <t>Gas Facilities</t>
  </si>
  <si>
    <t>Tethered Structure Variable Cost</t>
  </si>
  <si>
    <t>Tethered Structure Topside Fixed Cost</t>
  </si>
  <si>
    <t>Oil Facilities</t>
  </si>
  <si>
    <t>Subsea Limit (BCF)</t>
  </si>
  <si>
    <t>WD (Metres)</t>
  </si>
  <si>
    <t>Gas Development Methods</t>
  </si>
  <si>
    <t>Gas Export Methods</t>
  </si>
  <si>
    <t>Selected Export Methods</t>
  </si>
  <si>
    <t>Selected Development Options</t>
  </si>
  <si>
    <t>Oil Development Methods</t>
  </si>
  <si>
    <t>Rent Limit (MMBBL)</t>
  </si>
  <si>
    <t>Topside Facilities Fixed</t>
  </si>
  <si>
    <t>Topside Facilities Variable</t>
  </si>
  <si>
    <t>Main Structure Fixed</t>
  </si>
  <si>
    <t>Main Structure Variable</t>
  </si>
  <si>
    <t>Intrafield Bundles</t>
  </si>
  <si>
    <t>Export Pipeline / satellite bundle</t>
  </si>
  <si>
    <t>Satellite Flowlines</t>
  </si>
  <si>
    <t>Straight Well Cost</t>
  </si>
  <si>
    <t>Deviated Well Cost</t>
  </si>
  <si>
    <t>Flowline</t>
  </si>
  <si>
    <t>Drill Time</t>
  </si>
  <si>
    <t>Drill Cost</t>
  </si>
  <si>
    <t>Method</t>
  </si>
  <si>
    <t>Av Deviated Well Measured Depth</t>
  </si>
  <si>
    <t>Av Straight Well Depth</t>
  </si>
  <si>
    <t>Intrafield Bundle Length</t>
  </si>
  <si>
    <t>Shuttle Tankers</t>
  </si>
  <si>
    <t>Oil Costs</t>
  </si>
  <si>
    <t>Fixed Cost/Year</t>
  </si>
  <si>
    <t>$/MBOPD</t>
  </si>
  <si>
    <t>FPSU Construct</t>
  </si>
  <si>
    <t>Tethered Structure</t>
  </si>
  <si>
    <t>Tethered Structure Construct</t>
  </si>
  <si>
    <t>Export Methods</t>
  </si>
  <si>
    <t>Manifolds</t>
  </si>
  <si>
    <t>Surface Wells</t>
  </si>
  <si>
    <t>Subsea Wells</t>
  </si>
  <si>
    <t xml:space="preserve">Fixed Cost /Year / Capacity Sweet </t>
  </si>
  <si>
    <t>Variable Cost Sweet</t>
  </si>
  <si>
    <t>Variable Cost Sour</t>
  </si>
  <si>
    <t>Fixed Cost /Year / Capacity Sour</t>
  </si>
  <si>
    <t>Topsides (mobile)</t>
  </si>
  <si>
    <t>K$/day</t>
  </si>
  <si>
    <t>K$/MMBBL/day</t>
  </si>
  <si>
    <t>Flat Real</t>
  </si>
  <si>
    <t>Tethered Structure Fixed Cost</t>
  </si>
  <si>
    <t>Fixed Platform Cost / Metre Water</t>
  </si>
  <si>
    <t>Tethered Structure Cost /Metr e Water</t>
  </si>
  <si>
    <t>OIL (includes water injection / gas disposal)</t>
  </si>
  <si>
    <t>Beta including Large Oil and Gas</t>
  </si>
  <si>
    <t>% at start-up</t>
  </si>
  <si>
    <t>% wells at start up</t>
  </si>
  <si>
    <t>Start-up</t>
  </si>
  <si>
    <t>Revision for Training Course</t>
  </si>
  <si>
    <t>Revision Following Training Cost</t>
  </si>
  <si>
    <t>Market</t>
  </si>
  <si>
    <t>Oil Price</t>
  </si>
  <si>
    <t>Netback Differential</t>
  </si>
  <si>
    <t>Oilfield Fuel Requirement</t>
  </si>
  <si>
    <t>Gas Field Shrinkage Fuel and Other</t>
  </si>
  <si>
    <t>mmbbl</t>
  </si>
  <si>
    <t>Energy Equivalence Factor (MSCF/BBL)</t>
  </si>
  <si>
    <t>for Gas @ 1000BTU/SCF</t>
  </si>
  <si>
    <t>Fuel &amp; Shrinkage</t>
  </si>
  <si>
    <t>Introduction</t>
  </si>
  <si>
    <t>Committed Disc. Return on Investment</t>
  </si>
  <si>
    <t>Guide</t>
  </si>
  <si>
    <t>Cost Assumptions</t>
  </si>
  <si>
    <t>Economic Assumptions</t>
  </si>
  <si>
    <t>Economics</t>
  </si>
  <si>
    <t>Overall Chance of Development</t>
  </si>
  <si>
    <t>Risked Discounted Values ($M)</t>
  </si>
  <si>
    <t>HyperLink</t>
  </si>
  <si>
    <t>Overrides</t>
  </si>
  <si>
    <t>No.</t>
  </si>
  <si>
    <t>Description</t>
  </si>
  <si>
    <t>Production and Schedule Assumptions</t>
  </si>
  <si>
    <t>Reservoir Pressure Multiplier on Well Time</t>
  </si>
  <si>
    <t>Schedule</t>
  </si>
  <si>
    <t xml:space="preserve">Switch from Shallow to Deepwater </t>
  </si>
  <si>
    <t>Deflator</t>
  </si>
  <si>
    <t>How to Interpret:</t>
  </si>
  <si>
    <t>Oil Price Multiplier</t>
  </si>
  <si>
    <t>The Charts show the results of applying conventional sensitivity analysis to  multipliers (where appropriate over the full time range) to the various factors in the model.    The sensitivity multipliers may be adjusted in the input cells in the upper left hand corner of this sheet, depending on the speed of processor the charts may take a few seconds to respond to the changes.</t>
  </si>
  <si>
    <t>Page</t>
  </si>
  <si>
    <t>Evaluation Section</t>
  </si>
  <si>
    <t>Basic Model Inputs</t>
  </si>
  <si>
    <t>Evaluation</t>
  </si>
  <si>
    <t>Thresholds</t>
  </si>
  <si>
    <t>Government Take</t>
  </si>
  <si>
    <t>Assumptions and Overrides</t>
  </si>
  <si>
    <t>Model Calculation Pages</t>
  </si>
  <si>
    <t>Development</t>
  </si>
  <si>
    <t>Production</t>
  </si>
  <si>
    <t>Federal Tax</t>
  </si>
  <si>
    <t>Provincial Tax</t>
  </si>
  <si>
    <t>Success Case Cash Flow</t>
  </si>
  <si>
    <t>Risked Cash Flow</t>
  </si>
  <si>
    <t>Selected Economics</t>
  </si>
  <si>
    <t>User Calculation Pages</t>
  </si>
  <si>
    <t>User Pages</t>
  </si>
  <si>
    <t>The cost sub-model utilises unit rates from the page Cost Assumptions.  The unit rates are organised in cost sets, the cost sets are definable by the user of the model and each unit rate is defined separately for shallow and deep water. The Base Nova Scotia Department of Energy cost set provided is based on actual costs experienced and drilling performance for shallow water developments from the three developments to date adjusted for industry and raw materials cost inflation.  For deep water developments greater than 200 metre water depth they are based on a screening development study which compared developments worldwide and developed scenarios for possible development.  The Base NS Dept of Energy Cost Set is thus highly representative of likely costs in the Nova Scotia offshore.   Users / companies are also able to set up their own cost set(s) if they wish to modify certain of the unit rates, particularly for market sensitive resources such as drilling rigs.</t>
  </si>
  <si>
    <t>The Threshold page shows the expected value of the current case varying for Recoverable Reserves, Reservoir Depth and Economics Scenario and by exploration stage.  For each exploration stage it shows the threshold field size, reservoir depth and economic scenario at which it economic to proceed.</t>
  </si>
  <si>
    <t>Government_Take</t>
  </si>
  <si>
    <t>Cashflow</t>
  </si>
  <si>
    <t>The Sensitivity Page enables Sensitivity Multipliers to be defined for critical parameters and displays "tornado" plots of the range of outcomes for NPV, IRR, Discounted Return on Investment Ratio (the ratio of the risked discounted cash flow to the risked discounted total project investment) and Committed Discounted Return on Investment Ratio (the ratio of the discounted cash flow to the discounted commitment for the next exploration stage)</t>
  </si>
  <si>
    <t>The Exploration Page shows the calculation of seismic, wildcat and appraisal exploration costs and schedule</t>
  </si>
  <si>
    <t>The Development Page shows the calculation of development costs and schedule</t>
  </si>
  <si>
    <t>The Production Page shows the calculation of production profiles</t>
  </si>
  <si>
    <t>The Revenue Page shows the calculation of revenues</t>
  </si>
  <si>
    <t>The Operations Page shows the calculation of Operating costs</t>
  </si>
  <si>
    <t>The Federal Tax Page shows the calculation of Federal Tax</t>
  </si>
  <si>
    <t>The Provincial Tax Page shows the calculation of Provincial Tax</t>
  </si>
  <si>
    <t>The Success Case Cash Flow Page shows the calculation of Cash flow in the case the project proceeds to development and production</t>
  </si>
  <si>
    <t>The risked Cash Flow show the cash flow risked by the probability of the appropriate stage occurring</t>
  </si>
  <si>
    <t>The Selected Economics Page show the prices, exchange rate, inflation and interest rate for the selected economic scenario</t>
  </si>
  <si>
    <t>Federal_Tax</t>
  </si>
  <si>
    <t>Provincial_Tax</t>
  </si>
  <si>
    <t>Success_Cash</t>
  </si>
  <si>
    <t>Risked_Cash</t>
  </si>
  <si>
    <t>Selected_Economics</t>
  </si>
  <si>
    <t>User_Area</t>
  </si>
  <si>
    <t>Five User Pages are provided for user's own calculations</t>
  </si>
  <si>
    <t>Nominal Oil Price</t>
  </si>
  <si>
    <t>Real Oil Price</t>
  </si>
  <si>
    <t>Nominal Henry Hub Gas Price</t>
  </si>
  <si>
    <t>Real Henry Hub Gas Price</t>
  </si>
  <si>
    <t>Price_Charts</t>
  </si>
  <si>
    <t>Price Charts</t>
  </si>
  <si>
    <t>The Price Charts Page compares the Nominal and Real Oil and Henry Hub Cas Price Scenarios</t>
  </si>
  <si>
    <t>The Cash Flow page shows a chart of the contribution of each revenue and cost category to cash flow for the success case, and to the left show the contribution of each to success case and fully risked cases (weighted by the probability of occurrence) both undiscounted and discounted</t>
  </si>
  <si>
    <r>
      <t>Risk Parameters (</t>
    </r>
    <r>
      <rPr>
        <sz val="14"/>
        <color indexed="8"/>
        <rFont val="Calibri"/>
        <family val="2"/>
      </rPr>
      <t>Chance of Proceeding to Next Stage</t>
    </r>
    <r>
      <rPr>
        <b/>
        <sz val="14"/>
        <color indexed="8"/>
        <rFont val="Calibri"/>
        <family val="2"/>
      </rPr>
      <t>)</t>
    </r>
  </si>
  <si>
    <t>K$ / well</t>
  </si>
  <si>
    <t>Subsea Well  Equipment</t>
  </si>
  <si>
    <t>Subsea Manifolds &amp; Trees</t>
  </si>
  <si>
    <t>K$/BCF</t>
  </si>
  <si>
    <t xml:space="preserve">Pipeline Percent Selected </t>
  </si>
  <si>
    <t>shallow</t>
  </si>
  <si>
    <t>Selected Cost</t>
  </si>
  <si>
    <t>Shallow Cost</t>
  </si>
  <si>
    <t>Gas Export Distance (km)</t>
  </si>
  <si>
    <t>Gas Disposal</t>
  </si>
  <si>
    <t>FPSO</t>
  </si>
  <si>
    <t>Semi / SPAR</t>
  </si>
  <si>
    <t>Leased FPS0</t>
  </si>
  <si>
    <t>Subsea to Infrastructure</t>
  </si>
  <si>
    <t>To Infrastructure</t>
  </si>
  <si>
    <t>To Shore</t>
  </si>
  <si>
    <t xml:space="preserve">Beta with Oil Extension </t>
  </si>
  <si>
    <t>Gas Export Type</t>
  </si>
  <si>
    <t>Pipeline Percent Deepwater</t>
  </si>
  <si>
    <t>Re-inject</t>
  </si>
  <si>
    <t>None (Tariff)</t>
  </si>
  <si>
    <t>Gas Volume</t>
  </si>
  <si>
    <t>Gas Reserve per Reinjection Well (bcf)</t>
  </si>
  <si>
    <t>Minimal Processing Platform</t>
  </si>
  <si>
    <t>Shuttle</t>
  </si>
  <si>
    <t>Tankers</t>
  </si>
  <si>
    <t>Gas Tariff Rate</t>
  </si>
  <si>
    <t>FPSO &amp; Tanker Rental</t>
  </si>
  <si>
    <t>(1% for Lease)</t>
  </si>
  <si>
    <t>Lease</t>
  </si>
  <si>
    <t>©</t>
  </si>
  <si>
    <t>Purchase Shuttle Tanker</t>
  </si>
  <si>
    <t>Additional Gas Cost</t>
  </si>
  <si>
    <t>Topside Facilities Gas</t>
  </si>
  <si>
    <t>Gas Rate</t>
  </si>
  <si>
    <t>Pipe Size (in)</t>
  </si>
  <si>
    <t>K$/km/in</t>
  </si>
  <si>
    <t>Gas Export Pipeline Size</t>
  </si>
  <si>
    <t>a</t>
  </si>
  <si>
    <t>b</t>
  </si>
  <si>
    <t>Minimum Facilities Platform Fixed Cost</t>
  </si>
  <si>
    <t>Minimum Facilities Platform / Metre Water</t>
  </si>
  <si>
    <t>Minimum Facilities Platform Variable Cost</t>
  </si>
  <si>
    <t>Min Process Limit</t>
  </si>
  <si>
    <t>Areal Extent Multiplier on Well Length</t>
  </si>
  <si>
    <t>Areal Extent</t>
  </si>
  <si>
    <t>The production and cost models utilises the logic in the Sched &amp;Prod page  to determine a number of factors including production rate, the number wells and construction rates.  If desired these factors can be adjusted to reflect a company's experience and judgement.</t>
  </si>
  <si>
    <t>Development Options</t>
  </si>
  <si>
    <t xml:space="preserve">Dependent on the whether the main product is oil or gas and whether the prospect is in deep or shallow water, the user can select from a number of development options.  The available development options are described on the Page Devel Options </t>
  </si>
  <si>
    <t>Developments</t>
  </si>
  <si>
    <t xml:space="preserve">Jack-up </t>
  </si>
  <si>
    <t>Minimum Processing Platform</t>
  </si>
  <si>
    <t>The field is produced through a minimum facility platform with water knock-out and methanol injection capability and exported to a mother facility for export by pipeline to shore.  The mother facility charges a tariff to the sending facility for transport, secondary processing and possibly compression</t>
  </si>
  <si>
    <t>Shallow Water Oil Field Less than 200 metre water depth</t>
  </si>
  <si>
    <t>Leased FPSO</t>
  </si>
  <si>
    <t>Shallow and Deep Water area of Nova Scotia Offshore</t>
  </si>
  <si>
    <t>Shallow Water Gas Field Options Less than 200 metres water depth options</t>
  </si>
  <si>
    <t>Deepwater Gas Field Greater than 200 metre water depth options</t>
  </si>
  <si>
    <t>For shorter life fields a leased Floating Production and Storage System is considered, the production vessel and shuttle tankers are leased for the duration of the field</t>
  </si>
  <si>
    <t>As a company gets close to executing an exploration stage, for instance seismic or a wildcat well, the company's estimate of that stage may become refined as detail cost estimates are made and later proposals are requested and contracts awarded.  At this point the model provides for a Company to Override the Costs and in some case the timings of a stage, for the development stage the production profile may also be overridden.  Typically it would be expected that only the currently proposed stage is overridden and the remainder of the model is calculated from the assumptions set in the costs, and schedule and production pages.  Overrides are  set in the page Overrides, for each stage the costs can be set to "Model Calculated" or "Model Override"</t>
  </si>
  <si>
    <t xml:space="preserve">The Abandonment Page shows the calculation of the field abandonment date </t>
  </si>
  <si>
    <t>The Royalty Page shows the calculation of Royalty</t>
  </si>
  <si>
    <t xml:space="preserve">The basic model inputs are defined in the page Input.  Input cells are shown with blue text against a white background. Most inputs have an associated floating note that appears when the cell is selected.   Changing these inputs will automatically adjust the evaluated results of the model.  The model can be run simply by selecting parameters in this page, or after refining the model to different levels as detailed in the next section.  A basic evaluation requires that you define the current Stage of the Prospect - Seismic, Wildcat, Appraisal Development Plan or Development and assign the relevant probabilities of going from one stage to the next.  </t>
  </si>
  <si>
    <t>The Government Take Page shows the percentage Government Take for three categories, Royalty, Federal Tax and Provincial Tax for Varying Price and Reserves Cases</t>
  </si>
  <si>
    <t>This model provides costing and economic analysis for a number of development alternatives dependent on principle product and water depth, with the Sable Island area being classified as less than 200 metres and the deepwater as more than 200 metres as described below</t>
  </si>
  <si>
    <t>This is a full production facility with gas processing, it is intended for larger discoveries above 500bcf,  gas can be exported to shore or to existing infrastructure, in which case the model assumes a tariff is paid to the infrastructure owners.</t>
  </si>
  <si>
    <t>This is a full production facility with the same options as the Fixed Platform, it is moveable and has the possibility of reuse after field cessation</t>
  </si>
  <si>
    <t>This option flows gas from a deepwater field subsea to an existing infrastructure and for onward processing and transport to Goldboro.  There are a number of fields worldwide that flow gas subsea directly to shore up to 140 kilometres and a number of others are being planned.  Deepwater gas offshore Nova Scotia will most likely be discovered within 80 kilometres of existing infrastructure and this option assumes the gas is exported to infrastructure, the gas will require to be dry, less than 10 - 15 bbls / mscf .  As with the shallow water gas a tariff is paid to the transporting and processing facility.</t>
  </si>
  <si>
    <t>This is a Floating Production and Storage System, most likely ship-shaped although a cylindrical SEVAN design system would be an alternative cost competitive design.   Oil is produced from subsea wells and is offloaded onto dedicated shuttle tankers, since there are no existing tankers operating off Nova Scotia it is assumed that the tanker(s) are purchased and dedicated to the operation.</t>
  </si>
  <si>
    <t xml:space="preserve">As with shallow water a Floating Production and Storage System is utilised, it has a detachable turret and mooring system and is of double hulled design, most likely a new built ship-shaped design similar to BP's Skarv FPSO due to shortly commence production in the Norwegian Sea, although a cylindrical SEVAN design system would be an alternative cost competitive design.   Oil is produced from subsea wells and is stored on the vessel (assumed 1 million barrels) and offloaded onto dedicated shuttle tankers, since there are no existing tankers operating off Nova Scotia it is assumed that the tanker(s) are purchased and dedicated to the operation.   </t>
  </si>
  <si>
    <t>Deepwater Oil Field Greater than 200 Metres</t>
  </si>
  <si>
    <t>Deviated</t>
  </si>
  <si>
    <t>Not used - always deviated in clusters!</t>
  </si>
  <si>
    <t>Water Depth</t>
  </si>
  <si>
    <t>Shallow</t>
  </si>
  <si>
    <t>Deep</t>
  </si>
  <si>
    <t>Depth Range</t>
  </si>
  <si>
    <t>Field /  Prospect</t>
  </si>
  <si>
    <t>Operator</t>
  </si>
  <si>
    <t>Rig</t>
  </si>
  <si>
    <t>Latitude</t>
  </si>
  <si>
    <t>Longitude</t>
  </si>
  <si>
    <t>Spud Date</t>
  </si>
  <si>
    <t>Water Depth (m)</t>
  </si>
  <si>
    <t>MD (m)</t>
  </si>
  <si>
    <t>RG 3</t>
  </si>
  <si>
    <t>RG 5</t>
  </si>
  <si>
    <t>Margaree</t>
  </si>
  <si>
    <t>Dominion</t>
  </si>
  <si>
    <t>J-14</t>
  </si>
  <si>
    <t>Encana-Marauder</t>
  </si>
  <si>
    <t>RG 6</t>
  </si>
  <si>
    <t>43053'33.58"</t>
  </si>
  <si>
    <t>60031'54.21"</t>
  </si>
  <si>
    <t>Galaxy II</t>
  </si>
  <si>
    <t>Cree</t>
  </si>
  <si>
    <t>I-34</t>
  </si>
  <si>
    <t>ExxonMobil</t>
  </si>
  <si>
    <t>43043'41.48"</t>
  </si>
  <si>
    <t>60034'42.62"</t>
  </si>
  <si>
    <t>Marathon</t>
  </si>
  <si>
    <t>Crimson</t>
  </si>
  <si>
    <t>F-81</t>
  </si>
  <si>
    <t>DW Pathfinder</t>
  </si>
  <si>
    <t>43020'22.29"</t>
  </si>
  <si>
    <t>59042'57.03"</t>
  </si>
  <si>
    <t xml:space="preserve">This is a floating production facility solution with subsea production wells connected to one or more manifolds and tied back to the surface facility via risers.  Export is assumed via a steel catenary riser although other solutions are possible.  Export is either to existing infrastructure or direct to shore.  The base plan is for a deep draft semisubmersible as the floating production facility but a likely cost-competitive alternative is a SPAR, possibly one being designed for the Aasta Hansteen  development in 1400 metres water depth in the Norwegian Sea.   It has been assumed that the facility will be a pure production facility, and that any wellwork is preformed by a separate vessel.  Another possibility that could be considered would be a larger system with a drilling rig and mooring system designed to reposition the facility over the wells for reentry and wellwork such as employed by Shell on Perdido the world's deepest producing facility.  </t>
  </si>
  <si>
    <t>Gas Liquids</t>
  </si>
  <si>
    <t>Cumulative Cash Flow</t>
  </si>
  <si>
    <t>FPSO Fixed Cost</t>
  </si>
  <si>
    <t>FPSO Platform Cost /MetreWater</t>
  </si>
  <si>
    <t>FPSO Platform Topside Fixed Cost</t>
  </si>
  <si>
    <t>FPSO Platform Variable Cost</t>
  </si>
  <si>
    <t>Rented FPSO Fixed Cost</t>
  </si>
  <si>
    <t>Rented FPSO Variable Cost inc Tankers</t>
  </si>
  <si>
    <t>Base + 3%/y</t>
  </si>
  <si>
    <t>Base - 1.5%/y</t>
  </si>
  <si>
    <t>The economic model allows the development of five independent scenarios for the oil, gas and gas liquids (liquids associated with gas) prices, US$ / CAD exchange rate, cost inflation and interest rates.  These can then be selected from within the main model, and the results for each Scenario are compared in the Thresholds and Sensitivities pages.   This page also allows the definition of the netback differentials, in order to calculate the gas, oil and condensate prices at the field export point.</t>
  </si>
  <si>
    <t>Direct Pipeline Tie-in (subsea) - not used</t>
  </si>
  <si>
    <t>Update for Deepwater Leases for Approval</t>
  </si>
  <si>
    <t>Update for Deepwater Leases for Release</t>
  </si>
  <si>
    <t>Question</t>
  </si>
  <si>
    <t>Answer</t>
  </si>
  <si>
    <t>How do I Evaluate a Prospect in Basic Mode?</t>
  </si>
  <si>
    <t>How do I change the Prices in the Model?</t>
  </si>
  <si>
    <t>How are the Costs Derived in the model and how can I change the assumptions?</t>
  </si>
  <si>
    <t>How does the model determine the number of Wells?  How do I adjust the assumptions?</t>
  </si>
  <si>
    <t>The model has algorithms for the number of appraisal and development wells, these can be adjusted by adjusting the parameters and tables in sheet Sched &amp; Cost Assumptions</t>
  </si>
  <si>
    <t>Can I override Costs derived by the Model?</t>
  </si>
  <si>
    <t>Yes, but it is only recommended for the current phase where you have cost estimates, e.g. if you are in Wildcat phase, you may have a cost estimate for the Well and the model algorithms can be overwritten in Sheet Overrides.  It is not recommended that you adjust subsequent phases (although it is not prevented) because you will lose the benefits of the Thresholds and Sensitivities sheets.</t>
  </si>
  <si>
    <t>Does the model calculate Tariffs?  How do I define Tariff Rates in the model?</t>
  </si>
  <si>
    <t>The model calculates tariffs for cases where the prospect gas is sent through a third party facility and / or pipeline.  The rates for the tariffs are defined in the Rows 139 to 143 of the Sheet Cost Assumptions, the Tariffs Rates can be varied by type of service provided.</t>
  </si>
  <si>
    <t>How are the well drilling and completion times calculated?  Can I adjust these?</t>
  </si>
  <si>
    <t>Well drilling times per metre are input in rows 27 to 38 of the Sheet Cost Assumptions, these can vary for deep and shallow water.  An additional multiplier factor on well times is defined in Rows 63 to 65 of Sheet Sched &amp; Prod Assumptions, which adjusts for whether the reservoir is Normally Pressured, OverPressured or GeoPressured.  These times and factors are derived from the drilling history Sheet with adjustments for assumed performance improvements</t>
  </si>
  <si>
    <t>Go to the Sheet Input, and adjust the parameters for the Prospect in the second column according to the instructions in each cell.  The expected discounted values are shown in the right hand side of the Sheet.  You can adjust the Parameters and see how this affects the expected value.  The Cash flow for the Success Case is shown on the Next Sheet and Sensitivities on the subsequent Three Sheets</t>
  </si>
  <si>
    <t xml:space="preserve">There are five economics scenarios, that define assumptions for prices, inflation, interest rates and exchange rates.  Different Scenarios can be selected in the fourth row of Sheet Input.  Each of the scenarios can be modified and renamed in the sheet Economic Assumptions </t>
  </si>
  <si>
    <t>The model has algorithms for exploration, development and operations dependent on the parameters entered in Sheet Input and the Units Costs entered in Sheet Cost Assumptions.  There are five available set of Unit Costs defined in Cost Assumptions, the first is not modifiable (it is the Nova Scotia DOE set), the other four can be modified by the user, and selected in the fifth row of Sheet Input</t>
  </si>
  <si>
    <t>Fix for Historic Costs</t>
  </si>
  <si>
    <t>Protect Workbook</t>
  </si>
  <si>
    <t>Modify discounting in decision flow</t>
  </si>
  <si>
    <t>K$/MBOPD</t>
  </si>
  <si>
    <t>Provide Petrofac estimate for DW Oil Topsides and Structure Only</t>
  </si>
  <si>
    <t>Update Price Projections and Rig Rates</t>
  </si>
  <si>
    <t>Scenario 1 : Base</t>
  </si>
  <si>
    <t>Base Year of Estimate</t>
  </si>
  <si>
    <t>Cost adjusted to Model Base</t>
  </si>
  <si>
    <t>if cost assumptions prior to start economics - must provide an inflation factor</t>
  </si>
  <si>
    <t>Index from Cost Assumptions Base</t>
  </si>
  <si>
    <t>Base Inflation Year for Cost Assumptions</t>
  </si>
  <si>
    <t>Adjustment factor to Base</t>
  </si>
  <si>
    <t>adjusted for start date, need adjusted for base</t>
  </si>
  <si>
    <t>Base Adjust</t>
  </si>
  <si>
    <t xml:space="preserve"> Index</t>
  </si>
  <si>
    <t>Current Start Date</t>
  </si>
  <si>
    <t>Model Calculated Costs and Times</t>
  </si>
  <si>
    <t>Selected Costs and Times After Overrides Applied</t>
  </si>
  <si>
    <t>Costs Adjusted to Model Years</t>
  </si>
  <si>
    <t>Historic Costs and Allowances</t>
  </si>
  <si>
    <t>Inflated Costs Summarised ($M)</t>
  </si>
  <si>
    <t>Royalty Costs Pre-dev</t>
  </si>
  <si>
    <t>Denotes Overridden Values</t>
  </si>
  <si>
    <t>Period Start Date</t>
  </si>
  <si>
    <t>Historical Costs and Allowances</t>
  </si>
  <si>
    <t>M$</t>
  </si>
  <si>
    <t>Royalty Opening Cost Balance</t>
  </si>
  <si>
    <t>Input Lag to Appraisal (days)</t>
  </si>
  <si>
    <t>Input Lag to Widlcat (days)</t>
  </si>
  <si>
    <t>Input Lag to Next Well (days) (if one)</t>
  </si>
  <si>
    <t>Days from Appraisal End</t>
  </si>
  <si>
    <t>Development Costs &amp; Production</t>
  </si>
  <si>
    <t>Days From Prelim Engineering</t>
  </si>
  <si>
    <t>Adjustment Factor to Base</t>
  </si>
  <si>
    <t>Overriden Future Exploration Costs</t>
  </si>
  <si>
    <t>Unrisked and Uninflated ($M)</t>
  </si>
  <si>
    <t>Base Year for Estimate</t>
  </si>
  <si>
    <t>The model will estimate costs for prior stages of the project.  Where actual historical expenditures are known they can be entered here.  Historical costs will not affect the discounted project value or rate fo return</t>
  </si>
  <si>
    <t>The model assumes all costs are allowable for royalty, and also all appraisal and wildcat / seismic costs for CDE and CEE respectively, for federal and provincial taxes.  These maybe overridden for more accuracy if the balances differ from those derived fromthe historical costs.</t>
  </si>
  <si>
    <t>The model incorporates a development schedule and cost estimation sub-model that is linked to a production profile sub-model that is dependent on the timing of the wells from the development model.  Pre-tax cash flows are calculated and used to calculate royalties and taxes and to Evaluate the prospect at the specified discount rate.  You can navigate this model using the Tabs, and on each page you can also click on the blue link to navigate to this Guide or the main Input page, you can also navigate from this Page to all Other Pages.  The model is organised in five Sections that are color coded, the Introduction and Guide are in Yellow, the main Evaluation section is in Red, the Assumptions and Overrides are in Orange, the Model Calculation pages are in Light Blue and the last pages are for User Modelling and are in Green</t>
  </si>
  <si>
    <t>This model provides screening economics for evaluation of exploration prospects in the Nova Scotia offshore.  The model is intended for indicative scoping evaluations only and is not recommended for detail economic valuations or investment sanction.</t>
  </si>
  <si>
    <t>Where  historic costs are known and / or more detail cost estimates are available for one or more stages of a specific prospect these can be entered in the sheets Historic Overrides, Expl Overrides and Devel Overrides.  Additionally production profiles and operating costs may be overridden in the Devel Overrides sheet.</t>
  </si>
  <si>
    <t xml:space="preserve">By default all costs, schedules and production profiles are calculated from the parameters entered in the sheet Input.  The cost calculation is based on a cost model that uses unit rates entered in the sheet Cost Assumptions, these rates are indicative of costs for similar projects, in similar offshore conditions from other offshore regions of the world.   If desired it is possible to set up and choose a separate set of unit rates that more accurately reflect a company's information.   The default model, utilising the unit rates in cost assumptions enables rapid indicative economics for a generic or specific prospect and the user can very quickly see the effect of changing parameters include reserves, geologic and development risks and timing.   </t>
  </si>
  <si>
    <t>High Inflation</t>
  </si>
  <si>
    <t>Remaining Unrecovered Deposit (M$)</t>
  </si>
  <si>
    <t>Uplift</t>
  </si>
  <si>
    <t>No of Prior Period 1 Wells on Licence</t>
  </si>
  <si>
    <t>including any extensions</t>
  </si>
  <si>
    <t>Seismic Expenditure</t>
  </si>
  <si>
    <t>Allowable Expenditures</t>
  </si>
  <si>
    <t>Discount Method</t>
  </si>
  <si>
    <t>Discount_Method</t>
  </si>
  <si>
    <t>Nominal</t>
  </si>
  <si>
    <t>Real</t>
  </si>
  <si>
    <t>Internal Rate of Return</t>
  </si>
  <si>
    <t>Appraisal 1</t>
  </si>
  <si>
    <t>Appraisal 2</t>
  </si>
  <si>
    <t>Appraisal 3</t>
  </si>
  <si>
    <t>Appraisal 4</t>
  </si>
  <si>
    <t>Appraisal 5</t>
  </si>
  <si>
    <t>Bid Deposit Recovery</t>
  </si>
  <si>
    <t>N.A.</t>
  </si>
  <si>
    <t>Disc Factor</t>
  </si>
  <si>
    <t>Discounted Recovery</t>
  </si>
  <si>
    <t>Risked Totals</t>
  </si>
  <si>
    <t>Remaining Deposit (Open)</t>
  </si>
  <si>
    <t>Well Number</t>
  </si>
  <si>
    <t>Remaining Years Period 1</t>
  </si>
  <si>
    <t>Recovery</t>
  </si>
  <si>
    <t>Deposit (Close)</t>
  </si>
  <si>
    <t xml:space="preserve">Total </t>
  </si>
  <si>
    <t>Discounted Risked Totals</t>
  </si>
  <si>
    <t>Onshore Process Plant</t>
  </si>
  <si>
    <t>Onshore Gas Process Plant</t>
  </si>
  <si>
    <t>Onshore Gas Plant</t>
  </si>
  <si>
    <t>Required (1st gas development)</t>
  </si>
  <si>
    <t>Not Required</t>
  </si>
  <si>
    <t>should inc exp?</t>
  </si>
  <si>
    <t>My model is updating slowly, can I speed it up?</t>
  </si>
  <si>
    <t>Note: Ensure Calculation is Set to Automatic to view these tables (Menu - Formulas - Calculations Options - Automatic)</t>
  </si>
  <si>
    <t>Note: Ensure Calculation is Set to Automatic to view these charts (Menu - Formulas - Calculations Options - Automatic)</t>
  </si>
  <si>
    <t>The field is produced wholly subsea and connected to a mother platform, which performs primary processing and exports via an existing pipeline.  It is assumed that all processing on the mother field is charged by a tariff to the sending field.  Note: this option requires that afull infrastructure project (including export pipeline</t>
  </si>
  <si>
    <t>Deposit Recovery</t>
  </si>
  <si>
    <t>1. Sable Island area.  This is a mature area where two projects produced previously but have now been abandoned: 1. the Sable Offshore Energy Project, which produced gas from four gas fields, and exported via  pipeline to a gas plant at Goldboro (now mothballed), which in turn sent gas through the Maritimes and North East pipeline to the USA, and liquids to the Point Tupper fractionation Plant;  2. the Deep Panuke project which produced gas through a parallel pipeline to Goldboro .  There are a number of smaller gas discoveries and prospects in the region of Sable Island that could potentially produce if new infrastructure were implemented.  There is also potential for small to medium sized oil discoveries.  The Sable Island area lies on the continental shelf and water depths are in the main in the range 40 metres to 100 metres, environmental conditions are relatively similar to the Central North Sea with 100 year maximum wave height reported to be in the range 20 to 24 metres (OceanWeather Inc), the area to the south of Sable Island remains free of sea ice all year round.</t>
  </si>
  <si>
    <t xml:space="preserve">2. Deepwater Exploration.  These lie principally on the continental slope to the South West and West South West of Sable Island, the prospects closest to Sable Island are most likely to be gas prone and those further to the West are more likely to be oil prone.  The deepwater exploration lies in water depths of between 1500 metres and 4300 metres and environmental conditions are similar to the Northern North Sea / Norwegian Sea with 100 year return period maximum wave heights reported to be in the range 26 to 28 metre (OceanWeather Inc).  </t>
  </si>
  <si>
    <t>Selected Gas Plant</t>
  </si>
  <si>
    <t>The model can optionally calculate the licence work deposit recovery during Period 1 associated with the prospect.  If deposit recovery is set to calculated, the user should enter the required parameters and the bid deposit recovery will be calculated and added to the cash flow from the prospect</t>
  </si>
  <si>
    <t>Calculate Work Deposit Recovery</t>
  </si>
  <si>
    <t>Owner Share</t>
  </si>
  <si>
    <t>Alma 3</t>
  </si>
  <si>
    <t>N-76</t>
  </si>
  <si>
    <t>ExxonMobil Canada et al.</t>
  </si>
  <si>
    <r>
      <t>43</t>
    </r>
    <r>
      <rPr>
        <vertAlign val="superscript"/>
        <sz val="11"/>
        <rFont val="Calibri"/>
        <family val="2"/>
        <scheme val="minor"/>
      </rPr>
      <t>0</t>
    </r>
    <r>
      <rPr>
        <sz val="11"/>
        <color theme="1"/>
        <rFont val="Calibri"/>
        <family val="2"/>
        <scheme val="minor"/>
      </rPr>
      <t>35'47.74"</t>
    </r>
  </si>
  <si>
    <r>
      <t>60</t>
    </r>
    <r>
      <rPr>
        <vertAlign val="superscript"/>
        <sz val="11"/>
        <rFont val="Calibri"/>
        <family val="2"/>
        <scheme val="minor"/>
      </rPr>
      <t>0</t>
    </r>
    <r>
      <rPr>
        <sz val="11"/>
        <color theme="1"/>
        <rFont val="Calibri"/>
        <family val="2"/>
        <scheme val="minor"/>
      </rPr>
      <t>41'22.69"</t>
    </r>
  </si>
  <si>
    <t xml:space="preserve">Dominion </t>
  </si>
  <si>
    <t>J-14A</t>
  </si>
  <si>
    <t>Encana / Marauder</t>
  </si>
  <si>
    <r>
      <t>43</t>
    </r>
    <r>
      <rPr>
        <vertAlign val="superscript"/>
        <sz val="11"/>
        <rFont val="Calibri"/>
        <family val="2"/>
        <scheme val="minor"/>
      </rPr>
      <t>0</t>
    </r>
    <r>
      <rPr>
        <sz val="11"/>
        <color theme="1"/>
        <rFont val="Calibri"/>
        <family val="2"/>
        <scheme val="minor"/>
      </rPr>
      <t>53'34.00"</t>
    </r>
  </si>
  <si>
    <r>
      <t>60</t>
    </r>
    <r>
      <rPr>
        <vertAlign val="superscript"/>
        <sz val="11"/>
        <rFont val="Calibri"/>
        <family val="2"/>
        <scheme val="minor"/>
      </rPr>
      <t>0</t>
    </r>
    <r>
      <rPr>
        <sz val="11"/>
        <color theme="1"/>
        <rFont val="Calibri"/>
        <family val="2"/>
        <scheme val="minor"/>
      </rPr>
      <t>31'51.51"</t>
    </r>
  </si>
  <si>
    <t>Alma 4</t>
  </si>
  <si>
    <r>
      <t>43</t>
    </r>
    <r>
      <rPr>
        <vertAlign val="superscript"/>
        <sz val="11"/>
        <rFont val="Calibri"/>
        <family val="2"/>
        <scheme val="minor"/>
      </rPr>
      <t>0</t>
    </r>
    <r>
      <rPr>
        <sz val="11"/>
        <rFont val="Calibri"/>
        <family val="2"/>
        <scheme val="minor"/>
      </rPr>
      <t>35'46.90"</t>
    </r>
  </si>
  <si>
    <r>
      <t>60</t>
    </r>
    <r>
      <rPr>
        <vertAlign val="superscript"/>
        <sz val="11"/>
        <rFont val="Calibri"/>
        <family val="2"/>
        <scheme val="minor"/>
      </rPr>
      <t>0</t>
    </r>
    <r>
      <rPr>
        <sz val="11"/>
        <rFont val="Calibri"/>
        <family val="2"/>
        <scheme val="minor"/>
      </rPr>
      <t>41'19.10"</t>
    </r>
  </si>
  <si>
    <t>E-70</t>
  </si>
  <si>
    <t>Encana</t>
  </si>
  <si>
    <r>
      <t>43</t>
    </r>
    <r>
      <rPr>
        <vertAlign val="superscript"/>
        <sz val="11"/>
        <rFont val="Calibri"/>
        <family val="2"/>
        <scheme val="minor"/>
      </rPr>
      <t>0</t>
    </r>
    <r>
      <rPr>
        <sz val="11"/>
        <rFont val="Calibri"/>
        <family val="2"/>
        <scheme val="minor"/>
      </rPr>
      <t>49'17.28"</t>
    </r>
  </si>
  <si>
    <r>
      <t>60</t>
    </r>
    <r>
      <rPr>
        <vertAlign val="superscript"/>
        <sz val="11"/>
        <rFont val="Calibri"/>
        <family val="2"/>
        <scheme val="minor"/>
      </rPr>
      <t>0</t>
    </r>
    <r>
      <rPr>
        <sz val="11"/>
        <rFont val="Calibri"/>
        <family val="2"/>
        <scheme val="minor"/>
      </rPr>
      <t>40'17.44"</t>
    </r>
  </si>
  <si>
    <t>Alma 4A</t>
  </si>
  <si>
    <t>Cheshire</t>
  </si>
  <si>
    <t>L-97</t>
  </si>
  <si>
    <t>Shell Canada Ltd. et al.</t>
  </si>
  <si>
    <t>Stena IceMax</t>
  </si>
  <si>
    <r>
      <t>42</t>
    </r>
    <r>
      <rPr>
        <vertAlign val="superscript"/>
        <sz val="11"/>
        <rFont val="Calibri"/>
        <family val="2"/>
        <scheme val="minor"/>
      </rPr>
      <t>0</t>
    </r>
    <r>
      <rPr>
        <sz val="11"/>
        <rFont val="Calibri"/>
        <family val="2"/>
        <scheme val="minor"/>
      </rPr>
      <t>26'37.99"</t>
    </r>
  </si>
  <si>
    <r>
      <t>62</t>
    </r>
    <r>
      <rPr>
        <vertAlign val="superscript"/>
        <sz val="11"/>
        <rFont val="Calibri"/>
        <family val="2"/>
        <scheme val="minor"/>
      </rPr>
      <t>0</t>
    </r>
    <r>
      <rPr>
        <sz val="11"/>
        <rFont val="Calibri"/>
        <family val="2"/>
        <scheme val="minor"/>
      </rPr>
      <t>14'56.83"</t>
    </r>
  </si>
  <si>
    <t>L-97A</t>
  </si>
  <si>
    <t>Monterey Jack</t>
  </si>
  <si>
    <t>E-43</t>
  </si>
  <si>
    <r>
      <t>42</t>
    </r>
    <r>
      <rPr>
        <vertAlign val="superscript"/>
        <sz val="11"/>
        <rFont val="Calibri"/>
        <family val="2"/>
        <scheme val="minor"/>
      </rPr>
      <t>0</t>
    </r>
    <r>
      <rPr>
        <sz val="11"/>
        <rFont val="Calibri"/>
        <family val="2"/>
        <scheme val="minor"/>
      </rPr>
      <t>12'16.43"</t>
    </r>
  </si>
  <si>
    <r>
      <t>63</t>
    </r>
    <r>
      <rPr>
        <vertAlign val="superscript"/>
        <sz val="11"/>
        <rFont val="Calibri"/>
        <family val="2"/>
        <scheme val="minor"/>
      </rPr>
      <t>0</t>
    </r>
    <r>
      <rPr>
        <sz val="11"/>
        <rFont val="Calibri"/>
        <family val="2"/>
        <scheme val="minor"/>
      </rPr>
      <t>37'29.96"</t>
    </r>
  </si>
  <si>
    <t>E-43A</t>
  </si>
  <si>
    <t>Aspy</t>
  </si>
  <si>
    <t>D-11</t>
  </si>
  <si>
    <t>BP Canada et al.</t>
  </si>
  <si>
    <t>Seadrill West Aquarius</t>
  </si>
  <si>
    <r>
      <t>42</t>
    </r>
    <r>
      <rPr>
        <vertAlign val="superscript"/>
        <sz val="11"/>
        <rFont val="Calibri"/>
        <family val="2"/>
        <scheme val="minor"/>
      </rPr>
      <t>0</t>
    </r>
    <r>
      <rPr>
        <sz val="11"/>
        <rFont val="Calibri"/>
        <family val="2"/>
        <scheme val="minor"/>
      </rPr>
      <t xml:space="preserve"> 50' 0.336"</t>
    </r>
  </si>
  <si>
    <r>
      <t>60</t>
    </r>
    <r>
      <rPr>
        <vertAlign val="superscript"/>
        <sz val="11"/>
        <rFont val="Calibri"/>
        <family val="2"/>
        <scheme val="minor"/>
      </rPr>
      <t>0</t>
    </r>
    <r>
      <rPr>
        <sz val="11"/>
        <color theme="1"/>
        <rFont val="Calibri"/>
        <family val="2"/>
        <scheme val="minor"/>
      </rPr>
      <t>17' 52.169"</t>
    </r>
  </si>
  <si>
    <t>D-11A</t>
  </si>
  <si>
    <t>The Table Below shows a Summary of Well Exploration Drilling in the Nova Scotia Offshore for the last 20 years</t>
  </si>
  <si>
    <t>Work Deposit</t>
  </si>
  <si>
    <t>Expl Overrides</t>
  </si>
  <si>
    <t>Devel Overrides</t>
  </si>
  <si>
    <t>Historic Costs</t>
  </si>
  <si>
    <t>Expl_Overrides</t>
  </si>
  <si>
    <t>Deposit_Recovery</t>
  </si>
  <si>
    <t>Devel_Overrides</t>
  </si>
  <si>
    <t>Historic_Costs</t>
  </si>
  <si>
    <t xml:space="preserve">This page allows the user to Override Seismic, Wildcat and / or Appraisal Costs where more detail estimates are available.  </t>
  </si>
  <si>
    <t>The model works at a number of levels.  Before making an evaluation you may wish to first adjust the Economic Scenarios for Gas and Oil Prices and Inflation in page Economic Assumptions (see below).  You may also wish to create your own Cost Set (set of unit costs) for the cost model in page Cost Assumptions, and further can adjust the schedule and production assumptions used for development in page Sched &amp; Prod Assumptions.  Finally, for specific prospects if you have more firm estimates you can override the exploration and /or development costs and production profile for the next or subsequent stage (i.e. Seismic, Wildcat, Appraisal, Development) or if you wish all future stages, to do this go to page Overrides.   When overiding costs, the user should enter the year of estimate, for consistency, the model will adjust these costs to the base year for the Cost Assumptions before applying inflation from the Economic Assumptions.</t>
  </si>
  <si>
    <t>The Licence terms include a Process for recovery of the Work Deposit.   The model can calculate the incremental work deposit recovery due to exploration on the prospect,if selected this is included in the go-forward cash flows and hence NPV of the propsect.  If the user selects to calculate Work Deposit Recovery on this page, they should enter the remaining Work Deposit Bid available for recovery, the number of prior wells drilled on the licence (this will adjust the uplift on subsequent welss) and the remaining number of years in the licence Period 1 (icnluding any extensions).  The model will then calculate the deposit recovery and include in the propsect cash flow.</t>
  </si>
  <si>
    <t>This page allows the Preliminary Engineering, and / or the development cost and production profile, and / or the operating costs to be overridden where more detail cost / production estimates are available</t>
  </si>
  <si>
    <t>This page allows the user to input historic costs for each exploration phase where appropriate (note these do not affect go-forward NPV or IRR).  The user can also optionally elect to override the Royalty and Tax Opening Balances where these are known</t>
  </si>
  <si>
    <t>The model Makes extensive use of data tables for the Sensitivities shown in the three sheets Thresholds, Sensitivities and Government Take, these cause the model to recalculate many times when something in the model is changed.  On lower performance machines, this can cause the model to run slowly.  The first step to increase speed is check whether any other spreadsheets are open and close them.  Secondly, if you principally wish to work on the sheet Inputs, then the model can be further sped-up by selecting the menu item Formulas - Calculations Options - Automatic Except for Data Tables.  If you wish to review the three sensitivity sheets then reset to Formulas - Calculations Options - Automatic.</t>
  </si>
  <si>
    <t>My screen is small, how can I see more of the model?</t>
  </si>
  <si>
    <t>On systems with small screens, it may be difficult to see the entirety of a page.  In order to enable more visible screen, it is recommended that the menu is set to "Show Tabs Only", and also that viewing of the Formula Bar is disabled under the menu item View</t>
  </si>
  <si>
    <t>Update development methods and cost assumptions.  Add Work Deposit Recovery.  Improve Override Methods</t>
  </si>
  <si>
    <t>EMV</t>
  </si>
  <si>
    <t>These tables show the EMV (Expected Monetary Value at the selected discount rate) that would be assessed for the different stages of exploration / development for variations about the currently defined case for each of recoverable reserves, reservoir depth and economics scenario.   Negative EMVs are shown in yellow, positive EMVs in green, given a suitable discount rate, the boundary between the two may be seen as the Threshold at which it is financially viable to proceed with the next stage of exploration / development.   The order of the economic scenarios can be changed .</t>
  </si>
  <si>
    <t>NS NRR</t>
  </si>
  <si>
    <t>NS Subsurface Energy Develop</t>
  </si>
  <si>
    <t>NS Subsurface Energy Develop : NS NRR</t>
  </si>
  <si>
    <t>early start</t>
  </si>
  <si>
    <t>late start</t>
  </si>
  <si>
    <t>Unrisked (Success Case) Total ($M)</t>
  </si>
  <si>
    <t>current year</t>
  </si>
  <si>
    <t>The basic Model Evaluation is also displayed on the Inputs Page.  Dependent on the current exploration stage, the expected value of proceeding together with the cost of the next stage is shown on the Decision Flow diagram.  The Evaluation Table shows the Discounted and Risked (weighted by the change of occurrence) contributions of each revenue and cost category to the expected value, and the "Waterfall" chart show visually how these contribute to the Expected Monetary Value (EMV - the risk adjusted NPV) of the prospect.</t>
  </si>
  <si>
    <t xml:space="preserve">The model inflates all costs according to the inflation rate for the selected Economic Scenario, these are inflated or Nominal cash flows.  To determine the Expected Monetary Value of the prospect, the cash flows are first "risked" by the probability of proceeding to each stage.   If the Discount Method is selected as Nominal then these inflated risked cash flow are discounted at the specified discount rate to determine the EMV.   If the Discount Method is selected as Real then the risked cash flows are first "deflated" to the current year by the specified inflation rate for the selected economic scenario.  These deflated cash flows are then discounted at the discount rate specified to determine the EMV.   Discounting is applied to reflect that an investor value future cash flows less than current ones, because current cash flows can be reinvested to provide a return to the investor.  The discount rate reflects the return that an investor would require for the market (financial) risk of the class of asset being evaluated.  Because Real discounting is applied to deflated cash flows it should use a lower discount rate than Nominal discounting.  Real discounting is preferred to Nominal discounting when inflation is uncertain and/or varies significantly between scenarios or over time, because if backs out the effects of different inflation rates and therefore allows direct comparison of the returns / values between economic scenarios and between assets having different cash flow profiles </t>
  </si>
  <si>
    <t>Overpressured</t>
  </si>
  <si>
    <t>Severely Overpressured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</si>
</sst>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43" formatCode="_-* #,##0.00_-;\-* #,##0.00_-;_-* &quot;-&quot;??_-;_-@_-"/>
    <numFmt numFmtId="164" formatCode="&quot;£&quot;#,##0.00_);[Red]\(&quot;£&quot;#,##0.00\)"/>
    <numFmt numFmtId="165" formatCode="_(* #,##0.00_);_(* \(#,##0.00\);_(* &quot;-&quot;??_);_(@_)"/>
    <numFmt numFmtId="166" formatCode="0.0%"/>
    <numFmt numFmtId="167" formatCode="0.0"/>
    <numFmt numFmtId="168" formatCode="#,##0.0"/>
    <numFmt numFmtId="169" formatCode="[$-409]d\-mmm\-yy;@"/>
    <numFmt numFmtId="170" formatCode="[$-409]mmmm\-yy;@"/>
    <numFmt numFmtId="171" formatCode="0.000"/>
    <numFmt numFmtId="172" formatCode="[$-409]dd\-mmm\-yy;@"/>
    <numFmt numFmtId="173" formatCode="0.00000"/>
    <numFmt numFmtId="174" formatCode="0.0000000"/>
    <numFmt numFmtId="175" formatCode="0.0000"/>
    <numFmt numFmtId="176" formatCode="[$-409]mmm\-yy;@"/>
    <numFmt numFmtId="177" formatCode="dd/mm/yyyy;@"/>
    <numFmt numFmtId="178" formatCode="_-* #,##0.0_-;\-* #,##0.0_-;_-* &quot;-&quot;??_-;_-@_-"/>
    <numFmt numFmtId="179" formatCode="_-* #,##0_-;\-* #,##0_-;_-* &quot;-&quot;??_-;_-@_-"/>
    <numFmt numFmtId="180" formatCode="_-* #,##0.0_-;\-* #,##0.0_-;_-* &quot;-&quot;?_-;_-@_-"/>
    <numFmt numFmtId="181" formatCode="[$-409]d\-mmm\-yyyy;@"/>
    <numFmt numFmtId="182" formatCode="_-[$$-409]* #,##0.0_ ;_-[$$-409]* \-#,##0.0\ ;_-[$$-409]* &quot;-&quot;??_ ;_-@_ "/>
    <numFmt numFmtId="183" formatCode="_(&quot;$&quot;* #,##0.00_);_(&quot;$&quot;* \(#,##0.00\);_(&quot;$&quot;* &quot;-&quot;??_);_(@_)"/>
    <numFmt numFmtId="184" formatCode="_(* #,##0_);_(* \(#,##0\);_(* &quot;-&quot;??_);_(@_)"/>
    <numFmt numFmtId="185" formatCode="#,##0.000"/>
    <numFmt numFmtId="186" formatCode="_-[$$-409]* #,##0.00_ ;_-[$$-409]* \-#,##0.00\ ;_-[$$-409]* &quot;-&quot;??_ ;_-@_ "/>
    <numFmt numFmtId="187" formatCode="[$-F800]dddd\,\ mmmm\ dd\,\ yyyy"/>
  </numFmts>
  <fonts count="47">
    <font>
      <sz val="11"/>
      <color theme="1"/>
      <name val="Calibri"/>
      <family val="2"/>
      <scheme val="minor"/>
    </font>
    <font>
      <sz val="14"/>
      <color indexed="8"/>
      <name val="Calibri"/>
      <family val="2"/>
    </font>
    <font>
      <b/>
      <sz val="14"/>
      <color indexed="8"/>
      <name val="Calibri"/>
      <family val="2"/>
    </font>
    <font>
      <sz val="11"/>
      <color theme="1"/>
      <name val="Calibri"/>
      <family val="2"/>
      <scheme val="minor"/>
    </font>
    <font>
      <u/>
      <sz val="11"/>
      <color theme="10"/>
      <name val="Calibri"/>
      <family val="2"/>
    </font>
    <font>
      <sz val="11"/>
      <color theme="3" tint="0.39997558519241921"/>
      <name val="Calibri"/>
      <family val="2"/>
      <scheme val="minor"/>
    </font>
    <font>
      <b/>
      <sz val="11"/>
      <color theme="1"/>
      <name val="Calibri"/>
      <family val="2"/>
      <scheme val="minor"/>
    </font>
    <font>
      <sz val="11"/>
      <color rgb="FFFF0000"/>
      <name val="Calibri"/>
      <family val="2"/>
      <scheme val="minor"/>
    </font>
    <font>
      <b/>
      <u/>
      <sz val="14"/>
      <color theme="1"/>
      <name val="Calibri"/>
      <family val="2"/>
      <scheme val="minor"/>
    </font>
    <font>
      <sz val="14"/>
      <color theme="1"/>
      <name val="Calibri"/>
      <family val="2"/>
      <scheme val="minor"/>
    </font>
    <font>
      <b/>
      <sz val="14"/>
      <color theme="1"/>
      <name val="Calibri"/>
      <family val="2"/>
      <scheme val="minor"/>
    </font>
    <font>
      <b/>
      <u/>
      <sz val="18"/>
      <color theme="1"/>
      <name val="Calibri"/>
      <family val="2"/>
      <scheme val="minor"/>
    </font>
    <font>
      <sz val="12"/>
      <color theme="1"/>
      <name val="Calibri"/>
      <family val="2"/>
      <scheme val="minor"/>
    </font>
    <font>
      <b/>
      <sz val="14"/>
      <color rgb="FFFF0000"/>
      <name val="Calibri"/>
      <family val="2"/>
      <scheme val="minor"/>
    </font>
    <font>
      <b/>
      <u/>
      <sz val="16"/>
      <color theme="1"/>
      <name val="Calibri"/>
      <family val="2"/>
      <scheme val="minor"/>
    </font>
    <font>
      <u/>
      <sz val="12"/>
      <color theme="1"/>
      <name val="Calibri"/>
      <family val="2"/>
      <scheme val="minor"/>
    </font>
    <font>
      <sz val="12"/>
      <color theme="3" tint="0.39997558519241921"/>
      <name val="Calibri"/>
      <family val="2"/>
      <scheme val="minor"/>
    </font>
    <font>
      <sz val="12"/>
      <name val="Calibri"/>
      <family val="2"/>
      <scheme val="minor"/>
    </font>
    <font>
      <sz val="12"/>
      <color theme="2"/>
      <name val="Calibri"/>
      <family val="2"/>
      <scheme val="minor"/>
    </font>
    <font>
      <sz val="12"/>
      <color theme="3" tint="0.39991454817346722"/>
      <name val="Calibri"/>
      <family val="2"/>
      <scheme val="minor"/>
    </font>
    <font>
      <b/>
      <sz val="18"/>
      <color theme="1"/>
      <name val="Calibri"/>
      <family val="2"/>
      <scheme val="minor"/>
    </font>
    <font>
      <i/>
      <sz val="11"/>
      <color theme="1"/>
      <name val="Calibri"/>
      <family val="2"/>
      <scheme val="minor"/>
    </font>
    <font>
      <u/>
      <sz val="11"/>
      <color theme="1"/>
      <name val="Calibri"/>
      <family val="2"/>
      <scheme val="minor"/>
    </font>
    <font>
      <b/>
      <u/>
      <sz val="11"/>
      <color theme="1"/>
      <name val="Calibri"/>
      <family val="2"/>
      <scheme val="minor"/>
    </font>
    <font>
      <b/>
      <u/>
      <sz val="12"/>
      <color theme="1"/>
      <name val="Calibri"/>
      <family val="2"/>
      <scheme val="minor"/>
    </font>
    <font>
      <b/>
      <i/>
      <u/>
      <sz val="11"/>
      <color theme="1"/>
      <name val="Calibri"/>
      <family val="2"/>
      <scheme val="minor"/>
    </font>
    <font>
      <i/>
      <u/>
      <sz val="11"/>
      <color theme="1"/>
      <name val="Calibri"/>
      <family val="2"/>
      <scheme val="minor"/>
    </font>
    <font>
      <sz val="11"/>
      <color theme="0" tint="-4.9989318521683403E-2"/>
      <name val="Calibri"/>
      <family val="2"/>
      <scheme val="minor"/>
    </font>
    <font>
      <u/>
      <sz val="12"/>
      <color theme="10"/>
      <name val="Calibri"/>
      <family val="2"/>
    </font>
    <font>
      <b/>
      <u/>
      <sz val="14"/>
      <color theme="10"/>
      <name val="Calibri"/>
      <family val="2"/>
    </font>
    <font>
      <b/>
      <u/>
      <sz val="14"/>
      <color theme="7" tint="-0.249977111117893"/>
      <name val="Calibri"/>
      <family val="2"/>
    </font>
    <font>
      <sz val="10"/>
      <color theme="1"/>
      <name val="Calibri"/>
      <family val="2"/>
      <scheme val="minor"/>
    </font>
    <font>
      <sz val="14"/>
      <color theme="0" tint="-4.9989318521683403E-2"/>
      <name val="Calibri"/>
      <family val="2"/>
      <scheme val="minor"/>
    </font>
    <font>
      <sz val="20"/>
      <color theme="1"/>
      <name val="Calibri"/>
      <family val="2"/>
      <scheme val="minor"/>
    </font>
    <font>
      <b/>
      <sz val="28"/>
      <color theme="1"/>
      <name val="Calibri"/>
      <family val="2"/>
      <scheme val="minor"/>
    </font>
    <font>
      <sz val="36"/>
      <color theme="1"/>
      <name val="Calibri"/>
      <family val="2"/>
    </font>
    <font>
      <u/>
      <sz val="16"/>
      <color theme="10"/>
      <name val="Calibri"/>
      <family val="2"/>
    </font>
    <font>
      <sz val="16"/>
      <color theme="0"/>
      <name val="Calibri"/>
      <family val="2"/>
      <scheme val="minor"/>
    </font>
    <font>
      <b/>
      <sz val="18"/>
      <color rgb="FF000000"/>
      <name val="Calibri"/>
      <family val="2"/>
      <scheme val="minor"/>
    </font>
    <font>
      <sz val="11"/>
      <color theme="2"/>
      <name val="Calibri"/>
      <family val="2"/>
      <scheme val="minor"/>
    </font>
    <font>
      <u/>
      <sz val="14"/>
      <color theme="10"/>
      <name val="Calibri"/>
      <family val="2"/>
    </font>
    <font>
      <sz val="8"/>
      <name val="Geneva"/>
      <family val="2"/>
    </font>
    <font>
      <sz val="10"/>
      <name val="Geneva"/>
      <family val="2"/>
    </font>
    <font>
      <sz val="10"/>
      <name val="Arial"/>
      <family val="2"/>
    </font>
    <font>
      <sz val="11"/>
      <name val="Calibri"/>
      <family val="2"/>
      <scheme val="minor"/>
    </font>
    <font>
      <vertAlign val="superscript"/>
      <sz val="11"/>
      <name val="Calibri"/>
      <family val="2"/>
      <scheme val="minor"/>
    </font>
    <font>
      <sz val="11"/>
      <color theme="2" tint="-9.9978637043366805E-2"/>
      <name val="Calibri"/>
      <family val="2"/>
      <scheme val="minor"/>
    </font>
  </fonts>
  <fills count="1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theme="6" tint="0.79998168889431442"/>
        <bgColor indexed="64"/>
      </patternFill>
    </fill>
    <fill>
      <patternFill patternType="solid">
        <fgColor theme="3" tint="0.59999389629810485"/>
        <bgColor indexed="64"/>
      </patternFill>
    </fill>
    <fill>
      <patternFill patternType="solid">
        <fgColor theme="0" tint="-0.14999847407452621"/>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0000"/>
        <bgColor indexed="64"/>
      </patternFill>
    </fill>
    <fill>
      <patternFill patternType="solid">
        <fgColor theme="9" tint="-0.249977111117893"/>
        <bgColor indexed="64"/>
      </patternFill>
    </fill>
    <fill>
      <patternFill patternType="solid">
        <fgColor theme="6"/>
        <bgColor indexed="64"/>
      </patternFill>
    </fill>
    <fill>
      <patternFill patternType="solid">
        <fgColor rgb="FFFFC000"/>
        <bgColor indexed="64"/>
      </patternFill>
    </fill>
    <fill>
      <patternFill patternType="solid">
        <fgColor theme="9" tint="0.59999389629810485"/>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FFFF00"/>
        <bgColor indexed="64"/>
      </patternFill>
    </fill>
  </fills>
  <borders count="31">
    <border>
      <left/>
      <right/>
      <top/>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165" fontId="3" fillId="0" borderId="0" applyFont="0" applyFill="0" applyBorder="0" applyAlignment="0" applyProtection="0"/>
    <xf numFmtId="0" fontId="4" fillId="0" borderId="0" applyNumberFormat="0" applyFill="0" applyBorder="0" applyAlignment="0" applyProtection="0">
      <alignment vertical="top"/>
      <protection locked="0"/>
    </xf>
    <xf numFmtId="0" fontId="5" fillId="2" borderId="1">
      <alignment horizontal="center"/>
      <protection locked="0"/>
    </xf>
    <xf numFmtId="9" fontId="3" fillId="0" borderId="0" applyFont="0" applyFill="0" applyBorder="0" applyAlignment="0" applyProtection="0"/>
    <xf numFmtId="165" fontId="3" fillId="0" borderId="1"/>
    <xf numFmtId="183" fontId="3" fillId="0" borderId="0" applyFont="0" applyFill="0" applyBorder="0" applyAlignment="0" applyProtection="0"/>
    <xf numFmtId="0" fontId="41" fillId="0" borderId="0"/>
    <xf numFmtId="9" fontId="42" fillId="0" borderId="0" applyFont="0" applyFill="0" applyBorder="0" applyAlignment="0" applyProtection="0"/>
    <xf numFmtId="0" fontId="43" fillId="0" borderId="0"/>
  </cellStyleXfs>
  <cellXfs count="663">
    <xf numFmtId="0" fontId="0" fillId="0" borderId="0" xfId="0"/>
    <xf numFmtId="0" fontId="0" fillId="3" borderId="0" xfId="0" applyFill="1"/>
    <xf numFmtId="0" fontId="8" fillId="4" borderId="0" xfId="0" applyFont="1" applyFill="1"/>
    <xf numFmtId="0" fontId="9" fillId="4" borderId="0" xfId="0" applyFont="1" applyFill="1"/>
    <xf numFmtId="0" fontId="0" fillId="2" borderId="0" xfId="0" applyFill="1"/>
    <xf numFmtId="0" fontId="8" fillId="3" borderId="0" xfId="0" applyFont="1" applyFill="1"/>
    <xf numFmtId="2" fontId="0" fillId="3" borderId="1" xfId="0" applyNumberFormat="1" applyFill="1" applyBorder="1"/>
    <xf numFmtId="0" fontId="5" fillId="2" borderId="1" xfId="3">
      <alignment horizontal="center"/>
      <protection locked="0"/>
    </xf>
    <xf numFmtId="0" fontId="12" fillId="3" borderId="0" xfId="0" applyFont="1" applyFill="1"/>
    <xf numFmtId="0" fontId="0" fillId="4" borderId="0" xfId="0" applyFill="1"/>
    <xf numFmtId="0" fontId="5" fillId="4" borderId="1" xfId="0" applyFont="1" applyFill="1" applyBorder="1" applyAlignment="1" applyProtection="1">
      <alignment horizontal="center"/>
      <protection locked="0"/>
    </xf>
    <xf numFmtId="0" fontId="12" fillId="4" borderId="0" xfId="0" applyFont="1" applyFill="1"/>
    <xf numFmtId="0" fontId="16" fillId="2" borderId="12" xfId="3" applyFont="1" applyBorder="1">
      <alignment horizontal="center"/>
      <protection locked="0"/>
    </xf>
    <xf numFmtId="9" fontId="19" fillId="2" borderId="1" xfId="4" applyFont="1" applyFill="1" applyBorder="1" applyAlignment="1" applyProtection="1">
      <alignment horizontal="center" vertical="center"/>
      <protection locked="0"/>
    </xf>
    <xf numFmtId="0" fontId="0" fillId="4" borderId="0" xfId="0" applyFill="1" applyProtection="1">
      <protection hidden="1"/>
    </xf>
    <xf numFmtId="0" fontId="0" fillId="4" borderId="0" xfId="0" applyFill="1" applyAlignment="1" applyProtection="1">
      <alignment horizontal="center"/>
      <protection hidden="1"/>
    </xf>
    <xf numFmtId="0" fontId="12" fillId="5" borderId="1" xfId="0" applyFont="1" applyFill="1" applyBorder="1" applyAlignment="1">
      <alignment horizontal="center"/>
    </xf>
    <xf numFmtId="167" fontId="12" fillId="4" borderId="1" xfId="0" applyNumberFormat="1" applyFont="1" applyFill="1" applyBorder="1" applyAlignment="1">
      <alignment horizontal="center"/>
    </xf>
    <xf numFmtId="0" fontId="0" fillId="4" borderId="0" xfId="0" applyFill="1" applyAlignment="1">
      <alignment horizontal="center"/>
    </xf>
    <xf numFmtId="0" fontId="0" fillId="4" borderId="1" xfId="0" applyFill="1" applyBorder="1"/>
    <xf numFmtId="0" fontId="22" fillId="4" borderId="0" xfId="0" applyFont="1" applyFill="1"/>
    <xf numFmtId="0" fontId="0" fillId="4" borderId="3" xfId="0" applyFill="1" applyBorder="1"/>
    <xf numFmtId="0" fontId="0" fillId="4" borderId="3" xfId="0" applyFill="1" applyBorder="1" applyAlignment="1">
      <alignment horizontal="center"/>
    </xf>
    <xf numFmtId="0" fontId="0" fillId="4" borderId="4" xfId="0" applyFill="1" applyBorder="1"/>
    <xf numFmtId="0" fontId="0" fillId="4" borderId="5" xfId="0" applyFill="1" applyBorder="1"/>
    <xf numFmtId="3" fontId="5" fillId="2" borderId="1" xfId="3" applyNumberFormat="1">
      <alignment horizontal="center"/>
      <protection locked="0"/>
    </xf>
    <xf numFmtId="0" fontId="0" fillId="4" borderId="0" xfId="0" applyFill="1" applyAlignment="1">
      <alignment horizontal="center" vertical="top" wrapText="1"/>
    </xf>
    <xf numFmtId="167" fontId="0" fillId="4" borderId="4" xfId="0" applyNumberFormat="1" applyFill="1" applyBorder="1"/>
    <xf numFmtId="167" fontId="0" fillId="4" borderId="1" xfId="0" applyNumberFormat="1" applyFill="1" applyBorder="1"/>
    <xf numFmtId="0" fontId="23" fillId="3" borderId="0" xfId="0" applyFont="1" applyFill="1"/>
    <xf numFmtId="0" fontId="22" fillId="3" borderId="0" xfId="0" applyFont="1" applyFill="1"/>
    <xf numFmtId="0" fontId="0" fillId="3" borderId="15" xfId="0" applyFill="1" applyBorder="1"/>
    <xf numFmtId="0" fontId="0" fillId="3" borderId="18" xfId="0" applyFill="1" applyBorder="1"/>
    <xf numFmtId="0" fontId="23" fillId="4" borderId="0" xfId="0" applyFont="1" applyFill="1"/>
    <xf numFmtId="166" fontId="5" fillId="2" borderId="1" xfId="4" applyNumberFormat="1" applyFont="1" applyFill="1" applyBorder="1" applyAlignment="1" applyProtection="1">
      <alignment horizontal="center"/>
      <protection locked="0"/>
    </xf>
    <xf numFmtId="0" fontId="5" fillId="2" borderId="1" xfId="0" applyFont="1" applyFill="1" applyBorder="1" applyAlignment="1" applyProtection="1">
      <alignment horizontal="center"/>
      <protection locked="0"/>
    </xf>
    <xf numFmtId="0" fontId="0" fillId="4" borderId="1" xfId="0" applyFill="1" applyBorder="1" applyAlignment="1">
      <alignment horizontal="center"/>
    </xf>
    <xf numFmtId="9" fontId="5" fillId="2" borderId="1" xfId="4" applyFont="1" applyFill="1" applyBorder="1" applyAlignment="1" applyProtection="1">
      <alignment horizontal="center"/>
      <protection locked="0"/>
    </xf>
    <xf numFmtId="0" fontId="6" fillId="4" borderId="0" xfId="0" applyFont="1" applyFill="1"/>
    <xf numFmtId="0" fontId="5" fillId="3" borderId="1" xfId="3" applyFill="1">
      <alignment horizontal="center"/>
      <protection locked="0"/>
    </xf>
    <xf numFmtId="2" fontId="5" fillId="2" borderId="1" xfId="3" applyNumberFormat="1">
      <alignment horizontal="center"/>
      <protection locked="0"/>
    </xf>
    <xf numFmtId="0" fontId="25" fillId="3" borderId="0" xfId="0" applyFont="1" applyFill="1"/>
    <xf numFmtId="0" fontId="26" fillId="3" borderId="0" xfId="0" applyFont="1" applyFill="1"/>
    <xf numFmtId="0" fontId="3" fillId="3" borderId="0" xfId="3" applyFont="1" applyFill="1" applyBorder="1" applyProtection="1">
      <alignment horizontal="center"/>
    </xf>
    <xf numFmtId="167" fontId="0" fillId="3" borderId="0" xfId="0" applyNumberFormat="1" applyFill="1" applyAlignment="1">
      <alignment horizontal="left"/>
    </xf>
    <xf numFmtId="0" fontId="0" fillId="3" borderId="0" xfId="0" applyFill="1" applyAlignment="1">
      <alignment horizontal="left"/>
    </xf>
    <xf numFmtId="0" fontId="12" fillId="5" borderId="3" xfId="0" applyFont="1" applyFill="1" applyBorder="1" applyAlignment="1">
      <alignment horizontal="center"/>
    </xf>
    <xf numFmtId="9" fontId="12" fillId="5" borderId="1" xfId="0" applyNumberFormat="1" applyFont="1" applyFill="1" applyBorder="1" applyAlignment="1">
      <alignment horizontal="center"/>
    </xf>
    <xf numFmtId="0" fontId="12" fillId="5" borderId="1" xfId="0" applyFont="1" applyFill="1" applyBorder="1"/>
    <xf numFmtId="167" fontId="18" fillId="5" borderId="0" xfId="0" applyNumberFormat="1" applyFont="1" applyFill="1" applyAlignment="1" applyProtection="1">
      <alignment horizontal="center"/>
      <protection hidden="1"/>
    </xf>
    <xf numFmtId="166" fontId="12" fillId="4" borderId="1" xfId="4" applyNumberFormat="1" applyFont="1" applyFill="1" applyBorder="1" applyAlignment="1">
      <alignment horizontal="center"/>
    </xf>
    <xf numFmtId="167" fontId="18" fillId="5" borderId="4" xfId="0" applyNumberFormat="1" applyFont="1" applyFill="1" applyBorder="1" applyAlignment="1" applyProtection="1">
      <alignment horizontal="center"/>
      <protection hidden="1"/>
    </xf>
    <xf numFmtId="2" fontId="12" fillId="4" borderId="1" xfId="0" applyNumberFormat="1" applyFont="1" applyFill="1" applyBorder="1" applyAlignment="1">
      <alignment horizontal="center"/>
    </xf>
    <xf numFmtId="2" fontId="12" fillId="5" borderId="3" xfId="0" applyNumberFormat="1" applyFont="1" applyFill="1" applyBorder="1" applyAlignment="1">
      <alignment horizontal="center"/>
    </xf>
    <xf numFmtId="9" fontId="12" fillId="4" borderId="1" xfId="4" applyFont="1" applyFill="1" applyBorder="1" applyAlignment="1">
      <alignment horizontal="center"/>
    </xf>
    <xf numFmtId="167" fontId="0" fillId="4" borderId="0" xfId="0" applyNumberFormat="1" applyFill="1" applyProtection="1">
      <protection hidden="1"/>
    </xf>
    <xf numFmtId="9" fontId="0" fillId="4" borderId="0" xfId="0" applyNumberFormat="1" applyFill="1" applyProtection="1">
      <protection hidden="1"/>
    </xf>
    <xf numFmtId="166" fontId="3" fillId="4" borderId="0" xfId="4" applyNumberFormat="1" applyFont="1" applyFill="1" applyProtection="1">
      <protection hidden="1"/>
    </xf>
    <xf numFmtId="2" fontId="0" fillId="4" borderId="0" xfId="0" applyNumberFormat="1" applyFill="1" applyProtection="1">
      <protection hidden="1"/>
    </xf>
    <xf numFmtId="0" fontId="0" fillId="4" borderId="0" xfId="0" applyFill="1" applyAlignment="1" applyProtection="1">
      <alignment horizontal="right"/>
      <protection hidden="1"/>
    </xf>
    <xf numFmtId="0" fontId="0" fillId="4" borderId="0" xfId="0" applyFill="1" applyAlignment="1">
      <alignment horizontal="right"/>
    </xf>
    <xf numFmtId="0" fontId="0" fillId="3" borderId="0" xfId="0" quotePrefix="1" applyFill="1"/>
    <xf numFmtId="0" fontId="22" fillId="3" borderId="0" xfId="0" applyFont="1" applyFill="1" applyAlignment="1">
      <alignment horizontal="center"/>
    </xf>
    <xf numFmtId="2" fontId="0" fillId="3" borderId="10" xfId="0" applyNumberFormat="1" applyFill="1" applyBorder="1"/>
    <xf numFmtId="0" fontId="0" fillId="3" borderId="0" xfId="0" applyFill="1" applyProtection="1">
      <protection hidden="1"/>
    </xf>
    <xf numFmtId="0" fontId="27" fillId="3" borderId="0" xfId="0" applyFont="1" applyFill="1" applyProtection="1">
      <protection hidden="1"/>
    </xf>
    <xf numFmtId="177" fontId="5" fillId="3" borderId="1" xfId="3" applyNumberFormat="1" applyFill="1">
      <alignment horizontal="center"/>
      <protection locked="0"/>
    </xf>
    <xf numFmtId="9" fontId="5" fillId="2" borderId="5" xfId="4" applyFont="1" applyFill="1" applyBorder="1" applyAlignment="1" applyProtection="1">
      <alignment horizontal="center"/>
      <protection locked="0"/>
    </xf>
    <xf numFmtId="178" fontId="5" fillId="2" borderId="1" xfId="1" applyNumberFormat="1" applyFont="1" applyFill="1" applyBorder="1" applyAlignment="1" applyProtection="1">
      <alignment horizontal="center"/>
      <protection locked="0"/>
    </xf>
    <xf numFmtId="0" fontId="0" fillId="4" borderId="12" xfId="0" applyFill="1" applyBorder="1"/>
    <xf numFmtId="9" fontId="16" fillId="2" borderId="12" xfId="0" applyNumberFormat="1" applyFont="1" applyFill="1" applyBorder="1" applyAlignment="1" applyProtection="1">
      <alignment horizontal="center"/>
      <protection locked="0"/>
    </xf>
    <xf numFmtId="0" fontId="16" fillId="2" borderId="12" xfId="0" applyFont="1" applyFill="1" applyBorder="1" applyAlignment="1" applyProtection="1">
      <alignment horizontal="center"/>
      <protection locked="0"/>
    </xf>
    <xf numFmtId="0" fontId="30" fillId="6" borderId="1" xfId="2" applyFont="1" applyFill="1" applyBorder="1" applyAlignment="1" applyProtection="1">
      <alignment horizontal="center" vertical="center"/>
    </xf>
    <xf numFmtId="10" fontId="0" fillId="3" borderId="1" xfId="0" applyNumberFormat="1" applyFill="1" applyBorder="1"/>
    <xf numFmtId="181" fontId="16" fillId="2" borderId="12" xfId="0" applyNumberFormat="1" applyFont="1" applyFill="1" applyBorder="1" applyAlignment="1" applyProtection="1">
      <alignment horizontal="center"/>
      <protection locked="0"/>
    </xf>
    <xf numFmtId="0" fontId="12" fillId="5" borderId="0" xfId="0" applyFont="1" applyFill="1"/>
    <xf numFmtId="9" fontId="12" fillId="2" borderId="1" xfId="0" applyNumberFormat="1" applyFont="1" applyFill="1" applyBorder="1" applyAlignment="1">
      <alignment horizontal="center"/>
    </xf>
    <xf numFmtId="0" fontId="0" fillId="8" borderId="0" xfId="0" applyFill="1"/>
    <xf numFmtId="9" fontId="16" fillId="2" borderId="1" xfId="4" applyFont="1" applyFill="1" applyBorder="1" applyAlignment="1" applyProtection="1">
      <alignment horizontal="center"/>
      <protection locked="0"/>
    </xf>
    <xf numFmtId="0" fontId="0" fillId="9" borderId="0" xfId="0" applyFill="1"/>
    <xf numFmtId="167" fontId="5" fillId="2" borderId="1" xfId="3" applyNumberFormat="1">
      <alignment horizontal="center"/>
      <protection locked="0"/>
    </xf>
    <xf numFmtId="0" fontId="39" fillId="4" borderId="0" xfId="0" applyFont="1" applyFill="1" applyProtection="1">
      <protection hidden="1"/>
    </xf>
    <xf numFmtId="167" fontId="18" fillId="4" borderId="19" xfId="0" applyNumberFormat="1" applyFont="1" applyFill="1" applyBorder="1" applyAlignment="1" applyProtection="1">
      <alignment horizontal="center"/>
      <protection hidden="1"/>
    </xf>
    <xf numFmtId="0" fontId="0" fillId="0" borderId="0" xfId="0" applyProtection="1">
      <protection hidden="1"/>
    </xf>
    <xf numFmtId="0" fontId="23" fillId="3" borderId="0" xfId="0" applyFont="1" applyFill="1" applyProtection="1">
      <protection hidden="1"/>
    </xf>
    <xf numFmtId="0" fontId="0" fillId="3" borderId="1" xfId="0" applyFill="1" applyBorder="1" applyProtection="1">
      <protection hidden="1"/>
    </xf>
    <xf numFmtId="166" fontId="3" fillId="3" borderId="1" xfId="4" applyNumberFormat="1" applyFont="1" applyFill="1" applyBorder="1" applyAlignment="1" applyProtection="1">
      <alignment horizontal="center"/>
      <protection hidden="1"/>
    </xf>
    <xf numFmtId="0" fontId="0" fillId="3" borderId="10" xfId="0" applyFill="1" applyBorder="1" applyProtection="1">
      <protection hidden="1"/>
    </xf>
    <xf numFmtId="166" fontId="23" fillId="3" borderId="1" xfId="4" applyNumberFormat="1" applyFont="1" applyFill="1" applyBorder="1" applyAlignment="1" applyProtection="1">
      <alignment horizontal="center"/>
      <protection hidden="1"/>
    </xf>
    <xf numFmtId="0" fontId="0" fillId="3" borderId="3" xfId="0" applyFill="1" applyBorder="1" applyAlignment="1" applyProtection="1">
      <alignment horizontal="center"/>
      <protection hidden="1"/>
    </xf>
    <xf numFmtId="0" fontId="0" fillId="3" borderId="4" xfId="0" applyFill="1" applyBorder="1" applyAlignment="1" applyProtection="1">
      <alignment horizontal="center"/>
      <protection hidden="1"/>
    </xf>
    <xf numFmtId="179" fontId="3" fillId="3" borderId="1" xfId="1" applyNumberFormat="1" applyFont="1" applyFill="1" applyBorder="1" applyProtection="1">
      <protection hidden="1"/>
    </xf>
    <xf numFmtId="0" fontId="8" fillId="3" borderId="0" xfId="0" applyFont="1" applyFill="1" applyProtection="1">
      <protection hidden="1"/>
    </xf>
    <xf numFmtId="0" fontId="30" fillId="6" borderId="1" xfId="2" applyFont="1" applyFill="1" applyBorder="1" applyAlignment="1" applyProtection="1">
      <alignment horizontal="center" vertical="center"/>
      <protection hidden="1"/>
    </xf>
    <xf numFmtId="0" fontId="0" fillId="3" borderId="11" xfId="0" applyFill="1" applyBorder="1" applyProtection="1">
      <protection hidden="1"/>
    </xf>
    <xf numFmtId="0" fontId="0" fillId="3" borderId="12" xfId="0" applyFill="1" applyBorder="1" applyProtection="1">
      <protection hidden="1"/>
    </xf>
    <xf numFmtId="166" fontId="3" fillId="3" borderId="1" xfId="4" applyNumberFormat="1" applyFont="1" applyFill="1" applyBorder="1" applyProtection="1">
      <protection hidden="1"/>
    </xf>
    <xf numFmtId="0" fontId="0" fillId="3" borderId="5" xfId="0" applyFill="1" applyBorder="1" applyAlignment="1" applyProtection="1">
      <alignment horizontal="center"/>
      <protection hidden="1"/>
    </xf>
    <xf numFmtId="15" fontId="0" fillId="3" borderId="1" xfId="0" applyNumberFormat="1" applyFill="1" applyBorder="1" applyProtection="1">
      <protection hidden="1"/>
    </xf>
    <xf numFmtId="1" fontId="0" fillId="3" borderId="1" xfId="0" applyNumberFormat="1" applyFill="1" applyBorder="1" applyProtection="1">
      <protection hidden="1"/>
    </xf>
    <xf numFmtId="178" fontId="3" fillId="3" borderId="1" xfId="1" applyNumberFormat="1" applyFont="1" applyFill="1" applyBorder="1" applyProtection="1">
      <protection hidden="1"/>
    </xf>
    <xf numFmtId="167" fontId="0" fillId="3" borderId="1" xfId="0" applyNumberFormat="1" applyFill="1" applyBorder="1" applyProtection="1">
      <protection hidden="1"/>
    </xf>
    <xf numFmtId="171" fontId="0" fillId="3" borderId="0" xfId="0" applyNumberFormat="1" applyFill="1" applyProtection="1">
      <protection hidden="1"/>
    </xf>
    <xf numFmtId="166" fontId="3" fillId="3" borderId="5" xfId="4" applyNumberFormat="1" applyFont="1" applyFill="1" applyBorder="1" applyAlignment="1" applyProtection="1">
      <alignment horizontal="center"/>
      <protection hidden="1"/>
    </xf>
    <xf numFmtId="0" fontId="0" fillId="3" borderId="1" xfId="0" applyFill="1" applyBorder="1" applyAlignment="1" applyProtection="1">
      <alignment horizontal="center"/>
      <protection hidden="1"/>
    </xf>
    <xf numFmtId="178" fontId="3" fillId="3" borderId="0" xfId="1" applyNumberFormat="1" applyFont="1" applyFill="1" applyProtection="1">
      <protection hidden="1"/>
    </xf>
    <xf numFmtId="0" fontId="0" fillId="3" borderId="3" xfId="0" applyFill="1" applyBorder="1" applyProtection="1">
      <protection hidden="1"/>
    </xf>
    <xf numFmtId="178" fontId="3" fillId="3" borderId="3" xfId="1" applyNumberFormat="1" applyFont="1" applyFill="1" applyBorder="1" applyProtection="1">
      <protection hidden="1"/>
    </xf>
    <xf numFmtId="0" fontId="0" fillId="3" borderId="4" xfId="0" applyFill="1" applyBorder="1" applyProtection="1">
      <protection hidden="1"/>
    </xf>
    <xf numFmtId="178" fontId="3" fillId="3" borderId="4" xfId="1" applyNumberFormat="1" applyFont="1" applyFill="1" applyBorder="1" applyProtection="1">
      <protection hidden="1"/>
    </xf>
    <xf numFmtId="0" fontId="0" fillId="3" borderId="5" xfId="0" applyFill="1" applyBorder="1" applyProtection="1">
      <protection hidden="1"/>
    </xf>
    <xf numFmtId="178" fontId="3" fillId="3" borderId="5" xfId="1" applyNumberFormat="1" applyFont="1" applyFill="1" applyBorder="1" applyProtection="1">
      <protection hidden="1"/>
    </xf>
    <xf numFmtId="0" fontId="9" fillId="3" borderId="0" xfId="0" applyFont="1" applyFill="1" applyProtection="1">
      <protection hidden="1"/>
    </xf>
    <xf numFmtId="15" fontId="0" fillId="3" borderId="0" xfId="0" applyNumberFormat="1" applyFill="1" applyProtection="1">
      <protection hidden="1"/>
    </xf>
    <xf numFmtId="14" fontId="0" fillId="3" borderId="0" xfId="0" applyNumberFormat="1" applyFill="1" applyProtection="1">
      <protection hidden="1"/>
    </xf>
    <xf numFmtId="0" fontId="0" fillId="3" borderId="0" xfId="0" applyFill="1" applyAlignment="1" applyProtection="1">
      <alignment horizontal="center"/>
      <protection hidden="1"/>
    </xf>
    <xf numFmtId="0" fontId="7" fillId="3" borderId="1" xfId="0" applyFont="1" applyFill="1" applyBorder="1" applyProtection="1">
      <protection hidden="1"/>
    </xf>
    <xf numFmtId="0" fontId="0" fillId="3" borderId="18" xfId="0" applyFill="1" applyBorder="1" applyProtection="1">
      <protection hidden="1"/>
    </xf>
    <xf numFmtId="9" fontId="3" fillId="3" borderId="0" xfId="4" applyFont="1" applyFill="1" applyProtection="1">
      <protection hidden="1"/>
    </xf>
    <xf numFmtId="169" fontId="0" fillId="3" borderId="1" xfId="0" applyNumberFormat="1" applyFill="1" applyBorder="1" applyProtection="1">
      <protection hidden="1"/>
    </xf>
    <xf numFmtId="1" fontId="0" fillId="3" borderId="0" xfId="0" applyNumberFormat="1" applyFill="1" applyProtection="1">
      <protection hidden="1"/>
    </xf>
    <xf numFmtId="2" fontId="0" fillId="3" borderId="0" xfId="0" applyNumberFormat="1" applyFill="1" applyProtection="1">
      <protection hidden="1"/>
    </xf>
    <xf numFmtId="167" fontId="0" fillId="3" borderId="0" xfId="0" applyNumberFormat="1" applyFill="1" applyProtection="1">
      <protection hidden="1"/>
    </xf>
    <xf numFmtId="0" fontId="0" fillId="3" borderId="1" xfId="0" applyFill="1" applyBorder="1" applyAlignment="1" applyProtection="1">
      <alignment horizontal="left"/>
      <protection hidden="1"/>
    </xf>
    <xf numFmtId="169" fontId="0" fillId="3" borderId="1" xfId="0" applyNumberFormat="1" applyFill="1" applyBorder="1" applyAlignment="1" applyProtection="1">
      <alignment horizontal="center"/>
      <protection hidden="1"/>
    </xf>
    <xf numFmtId="1" fontId="0" fillId="3" borderId="1" xfId="0" applyNumberFormat="1" applyFill="1" applyBorder="1" applyAlignment="1" applyProtection="1">
      <alignment horizontal="center"/>
      <protection hidden="1"/>
    </xf>
    <xf numFmtId="2" fontId="0" fillId="3" borderId="10" xfId="0" applyNumberFormat="1" applyFill="1" applyBorder="1" applyProtection="1">
      <protection hidden="1"/>
    </xf>
    <xf numFmtId="0" fontId="23" fillId="3" borderId="0" xfId="0" applyFont="1" applyFill="1" applyAlignment="1" applyProtection="1">
      <alignment horizontal="left"/>
      <protection hidden="1"/>
    </xf>
    <xf numFmtId="9" fontId="3" fillId="3" borderId="1" xfId="4" applyFont="1" applyFill="1" applyBorder="1" applyProtection="1">
      <protection hidden="1"/>
    </xf>
    <xf numFmtId="2" fontId="0" fillId="3" borderId="1" xfId="0" applyNumberFormat="1" applyFill="1" applyBorder="1" applyProtection="1">
      <protection hidden="1"/>
    </xf>
    <xf numFmtId="172" fontId="0" fillId="3" borderId="0" xfId="0" applyNumberFormat="1" applyFill="1" applyProtection="1">
      <protection hidden="1"/>
    </xf>
    <xf numFmtId="9" fontId="3" fillId="3" borderId="3" xfId="4" applyFont="1" applyFill="1" applyBorder="1" applyProtection="1">
      <protection hidden="1"/>
    </xf>
    <xf numFmtId="165" fontId="0" fillId="3" borderId="0" xfId="0" applyNumberFormat="1" applyFill="1" applyProtection="1">
      <protection hidden="1"/>
    </xf>
    <xf numFmtId="0" fontId="22" fillId="3" borderId="0" xfId="0" applyFont="1" applyFill="1" applyProtection="1">
      <protection hidden="1"/>
    </xf>
    <xf numFmtId="166" fontId="0" fillId="3" borderId="1" xfId="0" applyNumberFormat="1" applyFill="1" applyBorder="1" applyProtection="1">
      <protection hidden="1"/>
    </xf>
    <xf numFmtId="0" fontId="0" fillId="3" borderId="1" xfId="0" applyFill="1" applyBorder="1" applyAlignment="1" applyProtection="1">
      <alignment horizontal="center" wrapText="1"/>
      <protection hidden="1"/>
    </xf>
    <xf numFmtId="0" fontId="0" fillId="3" borderId="1" xfId="0" applyFill="1" applyBorder="1" applyAlignment="1" applyProtection="1">
      <alignment wrapText="1"/>
      <protection hidden="1"/>
    </xf>
    <xf numFmtId="0" fontId="0" fillId="3" borderId="12" xfId="0" applyFill="1" applyBorder="1" applyAlignment="1" applyProtection="1">
      <alignment horizontal="center"/>
      <protection hidden="1"/>
    </xf>
    <xf numFmtId="0" fontId="0" fillId="3" borderId="3" xfId="0" applyFill="1" applyBorder="1" applyAlignment="1" applyProtection="1">
      <alignment horizontal="center" wrapText="1"/>
      <protection hidden="1"/>
    </xf>
    <xf numFmtId="0" fontId="0" fillId="3" borderId="0" xfId="0" applyFill="1" applyAlignment="1" applyProtection="1">
      <alignment horizontal="center" wrapText="1"/>
      <protection hidden="1"/>
    </xf>
    <xf numFmtId="0" fontId="0" fillId="3" borderId="3" xfId="0" applyFill="1" applyBorder="1" applyAlignment="1" applyProtection="1">
      <alignment wrapText="1"/>
      <protection hidden="1"/>
    </xf>
    <xf numFmtId="166" fontId="3" fillId="3" borderId="0" xfId="4" applyNumberFormat="1" applyFont="1" applyFill="1" applyProtection="1">
      <protection hidden="1"/>
    </xf>
    <xf numFmtId="9" fontId="0" fillId="3" borderId="1" xfId="0" applyNumberFormat="1" applyFill="1" applyBorder="1" applyProtection="1">
      <protection hidden="1"/>
    </xf>
    <xf numFmtId="9" fontId="0" fillId="3" borderId="0" xfId="0" applyNumberFormat="1" applyFill="1" applyProtection="1">
      <protection hidden="1"/>
    </xf>
    <xf numFmtId="178" fontId="0" fillId="3" borderId="0" xfId="0" applyNumberFormat="1" applyFill="1" applyProtection="1">
      <protection hidden="1"/>
    </xf>
    <xf numFmtId="178" fontId="3" fillId="3" borderId="0" xfId="1" applyNumberFormat="1" applyFont="1" applyFill="1" applyBorder="1" applyProtection="1">
      <protection hidden="1"/>
    </xf>
    <xf numFmtId="1" fontId="0" fillId="3" borderId="3" xfId="0" applyNumberFormat="1" applyFill="1" applyBorder="1" applyProtection="1">
      <protection hidden="1"/>
    </xf>
    <xf numFmtId="2" fontId="0" fillId="3" borderId="3" xfId="0" applyNumberFormat="1" applyFill="1" applyBorder="1" applyProtection="1">
      <protection hidden="1"/>
    </xf>
    <xf numFmtId="1" fontId="0" fillId="3" borderId="4" xfId="0" applyNumberFormat="1" applyFill="1" applyBorder="1" applyProtection="1">
      <protection hidden="1"/>
    </xf>
    <xf numFmtId="2" fontId="0" fillId="3" borderId="4" xfId="0" applyNumberFormat="1" applyFill="1" applyBorder="1" applyProtection="1">
      <protection hidden="1"/>
    </xf>
    <xf numFmtId="1" fontId="0" fillId="3" borderId="5" xfId="0" applyNumberFormat="1" applyFill="1" applyBorder="1" applyProtection="1">
      <protection hidden="1"/>
    </xf>
    <xf numFmtId="2" fontId="0" fillId="3" borderId="5" xfId="0" applyNumberFormat="1" applyFill="1" applyBorder="1" applyProtection="1">
      <protection hidden="1"/>
    </xf>
    <xf numFmtId="0" fontId="8" fillId="3" borderId="14" xfId="0" applyFont="1" applyFill="1" applyBorder="1" applyProtection="1">
      <protection hidden="1"/>
    </xf>
    <xf numFmtId="0" fontId="8" fillId="3" borderId="15" xfId="0" applyFont="1" applyFill="1" applyBorder="1" applyProtection="1">
      <protection hidden="1"/>
    </xf>
    <xf numFmtId="0" fontId="0" fillId="3" borderId="15" xfId="0" applyFill="1" applyBorder="1" applyProtection="1">
      <protection hidden="1"/>
    </xf>
    <xf numFmtId="0" fontId="0" fillId="3" borderId="16" xfId="0" applyFill="1" applyBorder="1" applyProtection="1">
      <protection hidden="1"/>
    </xf>
    <xf numFmtId="0" fontId="0" fillId="3" borderId="2" xfId="0" applyFill="1" applyBorder="1" applyProtection="1">
      <protection hidden="1"/>
    </xf>
    <xf numFmtId="0" fontId="0" fillId="3" borderId="19" xfId="0" applyFill="1" applyBorder="1" applyProtection="1">
      <protection hidden="1"/>
    </xf>
    <xf numFmtId="15" fontId="0" fillId="3" borderId="5" xfId="0" applyNumberFormat="1" applyFill="1" applyBorder="1" applyProtection="1">
      <protection hidden="1"/>
    </xf>
    <xf numFmtId="173" fontId="0" fillId="3" borderId="1" xfId="0" applyNumberFormat="1" applyFill="1" applyBorder="1" applyProtection="1">
      <protection hidden="1"/>
    </xf>
    <xf numFmtId="174" fontId="0" fillId="3" borderId="0" xfId="0" applyNumberFormat="1" applyFill="1" applyProtection="1">
      <protection hidden="1"/>
    </xf>
    <xf numFmtId="10" fontId="3" fillId="3" borderId="1" xfId="4" applyNumberFormat="1" applyFont="1" applyFill="1" applyBorder="1" applyProtection="1">
      <protection hidden="1"/>
    </xf>
    <xf numFmtId="10" fontId="0" fillId="3" borderId="3" xfId="0" applyNumberFormat="1" applyFill="1" applyBorder="1" applyProtection="1">
      <protection hidden="1"/>
    </xf>
    <xf numFmtId="169" fontId="0" fillId="3" borderId="0" xfId="0" applyNumberFormat="1" applyFill="1" applyProtection="1">
      <protection hidden="1"/>
    </xf>
    <xf numFmtId="169" fontId="23" fillId="3" borderId="0" xfId="0" applyNumberFormat="1" applyFont="1" applyFill="1" applyProtection="1">
      <protection hidden="1"/>
    </xf>
    <xf numFmtId="2" fontId="0" fillId="3" borderId="1" xfId="0" applyNumberFormat="1" applyFill="1" applyBorder="1" applyAlignment="1" applyProtection="1">
      <alignment horizontal="center"/>
      <protection hidden="1"/>
    </xf>
    <xf numFmtId="0" fontId="0" fillId="3" borderId="11" xfId="0" applyFill="1" applyBorder="1" applyAlignment="1" applyProtection="1">
      <alignment horizontal="center"/>
      <protection hidden="1"/>
    </xf>
    <xf numFmtId="2" fontId="0" fillId="3" borderId="11" xfId="0" applyNumberFormat="1" applyFill="1" applyBorder="1" applyAlignment="1" applyProtection="1">
      <alignment horizontal="center"/>
      <protection hidden="1"/>
    </xf>
    <xf numFmtId="166" fontId="3" fillId="3" borderId="0" xfId="4" applyNumberFormat="1" applyFont="1" applyFill="1" applyBorder="1" applyProtection="1">
      <protection hidden="1"/>
    </xf>
    <xf numFmtId="0" fontId="0" fillId="3" borderId="14" xfId="0" applyFill="1" applyBorder="1" applyProtection="1">
      <protection hidden="1"/>
    </xf>
    <xf numFmtId="0" fontId="24" fillId="3" borderId="0" xfId="0" applyFont="1" applyFill="1" applyProtection="1">
      <protection hidden="1"/>
    </xf>
    <xf numFmtId="178" fontId="3" fillId="3" borderId="1" xfId="1" applyNumberFormat="1" applyFont="1" applyFill="1" applyBorder="1" applyAlignment="1" applyProtection="1">
      <alignment horizontal="center"/>
      <protection hidden="1"/>
    </xf>
    <xf numFmtId="178" fontId="3" fillId="3" borderId="0" xfId="1" applyNumberFormat="1" applyFont="1" applyFill="1" applyBorder="1" applyAlignment="1" applyProtection="1">
      <alignment horizontal="center"/>
      <protection hidden="1"/>
    </xf>
    <xf numFmtId="9" fontId="22" fillId="3" borderId="0" xfId="0" applyNumberFormat="1" applyFont="1" applyFill="1" applyProtection="1">
      <protection hidden="1"/>
    </xf>
    <xf numFmtId="167" fontId="0" fillId="3" borderId="0" xfId="0" applyNumberFormat="1" applyFill="1" applyAlignment="1" applyProtection="1">
      <alignment horizontal="left"/>
      <protection hidden="1"/>
    </xf>
    <xf numFmtId="0" fontId="0" fillId="3" borderId="0" xfId="0" applyFill="1" applyAlignment="1" applyProtection="1">
      <alignment horizontal="left"/>
      <protection hidden="1"/>
    </xf>
    <xf numFmtId="180" fontId="3" fillId="3" borderId="4" xfId="1" applyNumberFormat="1" applyFont="1" applyFill="1" applyBorder="1" applyProtection="1">
      <protection hidden="1"/>
    </xf>
    <xf numFmtId="180" fontId="3" fillId="3" borderId="5" xfId="1" applyNumberFormat="1" applyFont="1" applyFill="1" applyBorder="1" applyProtection="1">
      <protection hidden="1"/>
    </xf>
    <xf numFmtId="0" fontId="21" fillId="3" borderId="0" xfId="0" applyFont="1" applyFill="1" applyProtection="1">
      <protection hidden="1"/>
    </xf>
    <xf numFmtId="2" fontId="0" fillId="3" borderId="1" xfId="0" applyNumberFormat="1" applyFill="1" applyBorder="1" applyAlignment="1" applyProtection="1">
      <alignment horizontal="right"/>
      <protection hidden="1"/>
    </xf>
    <xf numFmtId="9" fontId="0" fillId="3" borderId="5" xfId="0" applyNumberFormat="1" applyFill="1" applyBorder="1" applyAlignment="1" applyProtection="1">
      <alignment horizontal="center"/>
      <protection hidden="1"/>
    </xf>
    <xf numFmtId="9" fontId="0" fillId="3" borderId="1" xfId="0" applyNumberFormat="1" applyFill="1" applyBorder="1" applyAlignment="1" applyProtection="1">
      <alignment horizontal="center"/>
      <protection hidden="1"/>
    </xf>
    <xf numFmtId="9" fontId="3" fillId="3" borderId="1" xfId="4" applyFont="1" applyFill="1" applyBorder="1" applyAlignment="1" applyProtection="1">
      <alignment horizontal="center"/>
      <protection hidden="1"/>
    </xf>
    <xf numFmtId="170" fontId="0" fillId="3" borderId="1" xfId="0" applyNumberFormat="1" applyFill="1" applyBorder="1" applyAlignment="1" applyProtection="1">
      <alignment horizontal="center"/>
      <protection hidden="1"/>
    </xf>
    <xf numFmtId="170" fontId="0" fillId="3" borderId="4" xfId="0" applyNumberFormat="1" applyFill="1" applyBorder="1" applyProtection="1">
      <protection hidden="1"/>
    </xf>
    <xf numFmtId="170" fontId="0" fillId="3" borderId="5" xfId="0" applyNumberFormat="1" applyFill="1" applyBorder="1" applyProtection="1">
      <protection hidden="1"/>
    </xf>
    <xf numFmtId="178" fontId="3" fillId="3" borderId="12" xfId="1" applyNumberFormat="1" applyFont="1" applyFill="1" applyBorder="1" applyProtection="1">
      <protection hidden="1"/>
    </xf>
    <xf numFmtId="178" fontId="3" fillId="3" borderId="16" xfId="1" applyNumberFormat="1" applyFont="1" applyFill="1" applyBorder="1" applyProtection="1">
      <protection hidden="1"/>
    </xf>
    <xf numFmtId="166" fontId="3" fillId="3" borderId="3" xfId="4" applyNumberFormat="1" applyFont="1" applyFill="1" applyBorder="1" applyProtection="1">
      <protection hidden="1"/>
    </xf>
    <xf numFmtId="166" fontId="3" fillId="3" borderId="4" xfId="4" applyNumberFormat="1" applyFont="1" applyFill="1" applyBorder="1" applyProtection="1">
      <protection hidden="1"/>
    </xf>
    <xf numFmtId="166" fontId="3" fillId="3" borderId="5" xfId="4" applyNumberFormat="1" applyFont="1" applyFill="1" applyBorder="1" applyProtection="1">
      <protection hidden="1"/>
    </xf>
    <xf numFmtId="168" fontId="0" fillId="3" borderId="1" xfId="0" applyNumberFormat="1" applyFill="1" applyBorder="1" applyProtection="1">
      <protection hidden="1"/>
    </xf>
    <xf numFmtId="168" fontId="0" fillId="3" borderId="1" xfId="0" applyNumberFormat="1" applyFill="1" applyBorder="1" applyAlignment="1" applyProtection="1">
      <alignment horizontal="center"/>
      <protection hidden="1"/>
    </xf>
    <xf numFmtId="168" fontId="0" fillId="3" borderId="0" xfId="0" applyNumberFormat="1" applyFill="1" applyProtection="1">
      <protection hidden="1"/>
    </xf>
    <xf numFmtId="168" fontId="0" fillId="3" borderId="3" xfId="0" applyNumberFormat="1" applyFill="1" applyBorder="1" applyProtection="1">
      <protection hidden="1"/>
    </xf>
    <xf numFmtId="10" fontId="3" fillId="3" borderId="3" xfId="4" applyNumberFormat="1" applyFont="1" applyFill="1" applyBorder="1" applyProtection="1">
      <protection hidden="1"/>
    </xf>
    <xf numFmtId="168" fontId="0" fillId="3" borderId="4" xfId="0" applyNumberFormat="1" applyFill="1" applyBorder="1" applyProtection="1">
      <protection hidden="1"/>
    </xf>
    <xf numFmtId="10" fontId="3" fillId="3" borderId="4" xfId="4" applyNumberFormat="1" applyFont="1" applyFill="1" applyBorder="1" applyProtection="1">
      <protection hidden="1"/>
    </xf>
    <xf numFmtId="168" fontId="0" fillId="3" borderId="5" xfId="0" applyNumberFormat="1" applyFill="1" applyBorder="1" applyProtection="1">
      <protection hidden="1"/>
    </xf>
    <xf numFmtId="10" fontId="3" fillId="3" borderId="5" xfId="4" applyNumberFormat="1" applyFont="1" applyFill="1" applyBorder="1" applyProtection="1">
      <protection hidden="1"/>
    </xf>
    <xf numFmtId="175" fontId="0" fillId="3" borderId="0" xfId="0" applyNumberFormat="1" applyFill="1" applyProtection="1">
      <protection hidden="1"/>
    </xf>
    <xf numFmtId="0" fontId="4" fillId="3" borderId="3" xfId="2" applyFill="1" applyBorder="1" applyAlignment="1" applyProtection="1">
      <alignment horizontal="center"/>
      <protection hidden="1"/>
    </xf>
    <xf numFmtId="10" fontId="0" fillId="3" borderId="0" xfId="0" applyNumberFormat="1" applyFill="1" applyProtection="1">
      <protection hidden="1"/>
    </xf>
    <xf numFmtId="168" fontId="0" fillId="3" borderId="13" xfId="0" applyNumberFormat="1" applyFill="1" applyBorder="1" applyProtection="1">
      <protection hidden="1"/>
    </xf>
    <xf numFmtId="168" fontId="0" fillId="3" borderId="17" xfId="0" applyNumberFormat="1" applyFill="1" applyBorder="1" applyProtection="1">
      <protection hidden="1"/>
    </xf>
    <xf numFmtId="169" fontId="0" fillId="3" borderId="3" xfId="0" applyNumberFormat="1" applyFill="1" applyBorder="1" applyProtection="1">
      <protection hidden="1"/>
    </xf>
    <xf numFmtId="164" fontId="0" fillId="3" borderId="0" xfId="0" applyNumberFormat="1" applyFill="1" applyProtection="1">
      <protection hidden="1"/>
    </xf>
    <xf numFmtId="169" fontId="0" fillId="3" borderId="4" xfId="0" applyNumberFormat="1" applyFill="1" applyBorder="1" applyProtection="1">
      <protection hidden="1"/>
    </xf>
    <xf numFmtId="169" fontId="0" fillId="3" borderId="5" xfId="0" applyNumberFormat="1" applyFill="1" applyBorder="1" applyProtection="1">
      <protection hidden="1"/>
    </xf>
    <xf numFmtId="1" fontId="0" fillId="3" borderId="1" xfId="0" applyNumberFormat="1" applyFill="1" applyBorder="1" applyAlignment="1" applyProtection="1">
      <alignment horizontal="right"/>
      <protection hidden="1"/>
    </xf>
    <xf numFmtId="171" fontId="0" fillId="3" borderId="3" xfId="0" applyNumberFormat="1" applyFill="1" applyBorder="1" applyProtection="1">
      <protection hidden="1"/>
    </xf>
    <xf numFmtId="175" fontId="0" fillId="3" borderId="3" xfId="0" applyNumberFormat="1" applyFill="1" applyBorder="1" applyProtection="1">
      <protection hidden="1"/>
    </xf>
    <xf numFmtId="175" fontId="3" fillId="3" borderId="3" xfId="4" applyNumberFormat="1" applyFont="1" applyFill="1" applyBorder="1" applyProtection="1">
      <protection hidden="1"/>
    </xf>
    <xf numFmtId="171" fontId="0" fillId="3" borderId="4" xfId="0" applyNumberFormat="1" applyFill="1" applyBorder="1" applyProtection="1">
      <protection hidden="1"/>
    </xf>
    <xf numFmtId="175" fontId="0" fillId="3" borderId="4" xfId="0" applyNumberFormat="1" applyFill="1" applyBorder="1" applyProtection="1">
      <protection hidden="1"/>
    </xf>
    <xf numFmtId="171" fontId="0" fillId="3" borderId="5" xfId="0" applyNumberFormat="1" applyFill="1" applyBorder="1" applyProtection="1">
      <protection hidden="1"/>
    </xf>
    <xf numFmtId="175" fontId="0" fillId="3" borderId="5" xfId="0" applyNumberFormat="1" applyFill="1" applyBorder="1" applyProtection="1">
      <protection hidden="1"/>
    </xf>
    <xf numFmtId="0" fontId="0" fillId="4" borderId="1" xfId="0" applyFill="1" applyBorder="1" applyAlignment="1" applyProtection="1">
      <alignment horizontal="center"/>
      <protection hidden="1"/>
    </xf>
    <xf numFmtId="176" fontId="0" fillId="4" borderId="1" xfId="0" applyNumberFormat="1" applyFill="1" applyBorder="1" applyAlignment="1" applyProtection="1">
      <alignment horizontal="center"/>
      <protection hidden="1"/>
    </xf>
    <xf numFmtId="0" fontId="0" fillId="4" borderId="3" xfId="0" applyFill="1" applyBorder="1" applyAlignment="1" applyProtection="1">
      <alignment horizontal="center"/>
      <protection hidden="1"/>
    </xf>
    <xf numFmtId="0" fontId="0" fillId="4" borderId="1" xfId="0" applyFill="1" applyBorder="1" applyProtection="1">
      <protection hidden="1"/>
    </xf>
    <xf numFmtId="167" fontId="0" fillId="4" borderId="3" xfId="0" applyNumberFormat="1" applyFill="1" applyBorder="1" applyProtection="1">
      <protection hidden="1"/>
    </xf>
    <xf numFmtId="167" fontId="0" fillId="4" borderId="4" xfId="0" applyNumberFormat="1" applyFill="1" applyBorder="1" applyProtection="1">
      <protection hidden="1"/>
    </xf>
    <xf numFmtId="167" fontId="0" fillId="4" borderId="5" xfId="0" applyNumberFormat="1" applyFill="1" applyBorder="1" applyProtection="1">
      <protection hidden="1"/>
    </xf>
    <xf numFmtId="178" fontId="3" fillId="4" borderId="0" xfId="1" applyNumberFormat="1" applyFont="1" applyFill="1" applyProtection="1">
      <protection hidden="1"/>
    </xf>
    <xf numFmtId="178" fontId="3" fillId="4" borderId="4" xfId="1" applyNumberFormat="1" applyFont="1" applyFill="1" applyBorder="1" applyProtection="1">
      <protection hidden="1"/>
    </xf>
    <xf numFmtId="178" fontId="3" fillId="4" borderId="5" xfId="1" applyNumberFormat="1" applyFont="1" applyFill="1" applyBorder="1" applyProtection="1">
      <protection hidden="1"/>
    </xf>
    <xf numFmtId="178" fontId="3" fillId="4" borderId="0" xfId="1" applyNumberFormat="1" applyFont="1" applyFill="1" applyBorder="1" applyProtection="1">
      <protection hidden="1"/>
    </xf>
    <xf numFmtId="178" fontId="3" fillId="4" borderId="3" xfId="1" applyNumberFormat="1" applyFont="1" applyFill="1" applyBorder="1" applyProtection="1">
      <protection hidden="1"/>
    </xf>
    <xf numFmtId="178" fontId="3" fillId="4" borderId="1" xfId="1" applyNumberFormat="1" applyFont="1" applyFill="1" applyBorder="1" applyProtection="1">
      <protection hidden="1"/>
    </xf>
    <xf numFmtId="0" fontId="11" fillId="4" borderId="0" xfId="0" applyFont="1" applyFill="1" applyProtection="1">
      <protection hidden="1"/>
    </xf>
    <xf numFmtId="0" fontId="0" fillId="5" borderId="1" xfId="0" applyFill="1" applyBorder="1" applyProtection="1">
      <protection hidden="1"/>
    </xf>
    <xf numFmtId="0" fontId="12" fillId="5" borderId="10" xfId="0" applyFont="1" applyFill="1" applyBorder="1" applyAlignment="1" applyProtection="1">
      <alignment horizontal="left"/>
      <protection hidden="1"/>
    </xf>
    <xf numFmtId="0" fontId="12" fillId="5" borderId="11" xfId="0" applyFont="1" applyFill="1" applyBorder="1" applyAlignment="1" applyProtection="1">
      <alignment horizontal="left"/>
      <protection hidden="1"/>
    </xf>
    <xf numFmtId="0" fontId="12" fillId="5" borderId="12" xfId="0" applyFont="1" applyFill="1" applyBorder="1" applyAlignment="1" applyProtection="1">
      <alignment horizontal="left"/>
      <protection hidden="1"/>
    </xf>
    <xf numFmtId="0" fontId="12" fillId="4" borderId="1" xfId="0" applyFont="1" applyFill="1" applyBorder="1" applyProtection="1">
      <protection hidden="1"/>
    </xf>
    <xf numFmtId="9" fontId="12" fillId="4" borderId="1" xfId="0" applyNumberFormat="1" applyFont="1" applyFill="1" applyBorder="1" applyAlignment="1" applyProtection="1">
      <alignment horizontal="center" vertical="center"/>
      <protection hidden="1"/>
    </xf>
    <xf numFmtId="167" fontId="12" fillId="4" borderId="0" xfId="0" applyNumberFormat="1" applyFont="1" applyFill="1" applyAlignment="1" applyProtection="1">
      <alignment horizontal="left"/>
      <protection hidden="1"/>
    </xf>
    <xf numFmtId="0" fontId="12" fillId="5" borderId="1" xfId="0" applyFont="1" applyFill="1" applyBorder="1" applyAlignment="1" applyProtection="1">
      <alignment horizontal="center"/>
      <protection hidden="1"/>
    </xf>
    <xf numFmtId="0" fontId="12" fillId="5" borderId="11" xfId="0" applyFont="1" applyFill="1" applyBorder="1" applyProtection="1">
      <protection hidden="1"/>
    </xf>
    <xf numFmtId="169" fontId="12" fillId="4" borderId="1" xfId="0" applyNumberFormat="1" applyFont="1" applyFill="1" applyBorder="1" applyAlignment="1" applyProtection="1">
      <alignment horizontal="center" vertical="center"/>
      <protection hidden="1"/>
    </xf>
    <xf numFmtId="0" fontId="12" fillId="5" borderId="10" xfId="0" applyFont="1" applyFill="1" applyBorder="1" applyProtection="1">
      <protection hidden="1"/>
    </xf>
    <xf numFmtId="169" fontId="12" fillId="5" borderId="1" xfId="4" applyNumberFormat="1" applyFont="1" applyFill="1" applyBorder="1" applyAlignment="1" applyProtection="1">
      <alignment horizontal="center"/>
      <protection hidden="1"/>
    </xf>
    <xf numFmtId="178" fontId="12" fillId="4" borderId="1" xfId="1" applyNumberFormat="1" applyFont="1" applyFill="1" applyBorder="1" applyAlignment="1" applyProtection="1">
      <alignment horizontal="center"/>
      <protection hidden="1"/>
    </xf>
    <xf numFmtId="166" fontId="12" fillId="5" borderId="1" xfId="4" applyNumberFormat="1" applyFont="1" applyFill="1" applyBorder="1" applyAlignment="1" applyProtection="1">
      <alignment horizontal="center"/>
      <protection hidden="1"/>
    </xf>
    <xf numFmtId="178" fontId="12" fillId="4" borderId="3" xfId="1" applyNumberFormat="1" applyFont="1" applyFill="1" applyBorder="1" applyProtection="1">
      <protection hidden="1"/>
    </xf>
    <xf numFmtId="178" fontId="12" fillId="4" borderId="4" xfId="1" applyNumberFormat="1" applyFont="1" applyFill="1" applyBorder="1" applyProtection="1">
      <protection hidden="1"/>
    </xf>
    <xf numFmtId="178" fontId="12" fillId="4" borderId="0" xfId="1" applyNumberFormat="1" applyFont="1" applyFill="1" applyProtection="1">
      <protection hidden="1"/>
    </xf>
    <xf numFmtId="0" fontId="12" fillId="4" borderId="1" xfId="0" applyFont="1" applyFill="1" applyBorder="1" applyAlignment="1" applyProtection="1">
      <alignment horizontal="center" vertical="center"/>
      <protection hidden="1"/>
    </xf>
    <xf numFmtId="178" fontId="12" fillId="4" borderId="5" xfId="1" applyNumberFormat="1" applyFont="1" applyFill="1" applyBorder="1" applyProtection="1">
      <protection hidden="1"/>
    </xf>
    <xf numFmtId="178" fontId="12" fillId="4" borderId="15" xfId="1" applyNumberFormat="1" applyFont="1" applyFill="1" applyBorder="1" applyProtection="1">
      <protection hidden="1"/>
    </xf>
    <xf numFmtId="178" fontId="12" fillId="4" borderId="1" xfId="1" applyNumberFormat="1" applyFont="1" applyFill="1" applyBorder="1" applyProtection="1">
      <protection hidden="1"/>
    </xf>
    <xf numFmtId="178" fontId="12" fillId="4" borderId="11" xfId="1" applyNumberFormat="1" applyFont="1" applyFill="1" applyBorder="1" applyProtection="1">
      <protection hidden="1"/>
    </xf>
    <xf numFmtId="178" fontId="12" fillId="4" borderId="16" xfId="1" applyNumberFormat="1" applyFont="1" applyFill="1" applyBorder="1" applyProtection="1">
      <protection hidden="1"/>
    </xf>
    <xf numFmtId="178" fontId="12" fillId="4" borderId="17" xfId="1" applyNumberFormat="1" applyFont="1" applyFill="1" applyBorder="1" applyProtection="1">
      <protection hidden="1"/>
    </xf>
    <xf numFmtId="178" fontId="12" fillId="4" borderId="0" xfId="1" applyNumberFormat="1" applyFont="1" applyFill="1" applyBorder="1" applyProtection="1">
      <protection hidden="1"/>
    </xf>
    <xf numFmtId="0" fontId="12" fillId="4" borderId="4" xfId="0" applyFont="1" applyFill="1" applyBorder="1" applyProtection="1">
      <protection hidden="1"/>
    </xf>
    <xf numFmtId="9" fontId="12" fillId="4" borderId="1" xfId="0" applyNumberFormat="1" applyFont="1" applyFill="1" applyBorder="1" applyAlignment="1" applyProtection="1">
      <alignment horizontal="center"/>
      <protection hidden="1"/>
    </xf>
    <xf numFmtId="9" fontId="12" fillId="4" borderId="1" xfId="4" applyFont="1" applyFill="1" applyBorder="1" applyAlignment="1" applyProtection="1">
      <alignment horizontal="center" vertical="center"/>
      <protection hidden="1"/>
    </xf>
    <xf numFmtId="169" fontId="12" fillId="5" borderId="1" xfId="0" applyNumberFormat="1" applyFont="1" applyFill="1" applyBorder="1" applyAlignment="1" applyProtection="1">
      <alignment horizontal="center"/>
      <protection hidden="1"/>
    </xf>
    <xf numFmtId="0" fontId="12" fillId="4" borderId="0" xfId="0" applyFont="1" applyFill="1" applyAlignment="1" applyProtection="1">
      <alignment horizontal="left"/>
      <protection hidden="1"/>
    </xf>
    <xf numFmtId="9" fontId="3" fillId="4" borderId="0" xfId="4" applyFont="1" applyFill="1" applyProtection="1">
      <protection hidden="1"/>
    </xf>
    <xf numFmtId="167" fontId="3" fillId="4" borderId="0" xfId="4" applyNumberFormat="1" applyFont="1" applyFill="1" applyProtection="1">
      <protection hidden="1"/>
    </xf>
    <xf numFmtId="0" fontId="27" fillId="4" borderId="0" xfId="0" applyFont="1" applyFill="1" applyProtection="1">
      <protection hidden="1"/>
    </xf>
    <xf numFmtId="167" fontId="27" fillId="4" borderId="0" xfId="0" applyNumberFormat="1" applyFont="1" applyFill="1" applyProtection="1">
      <protection hidden="1"/>
    </xf>
    <xf numFmtId="0" fontId="14" fillId="4" borderId="0" xfId="0" applyFont="1" applyFill="1" applyProtection="1">
      <protection hidden="1"/>
    </xf>
    <xf numFmtId="15" fontId="9" fillId="4" borderId="0" xfId="0" applyNumberFormat="1" applyFont="1" applyFill="1" applyAlignment="1" applyProtection="1">
      <alignment horizontal="left"/>
      <protection hidden="1"/>
    </xf>
    <xf numFmtId="0" fontId="15" fillId="4" borderId="0" xfId="0" applyFont="1" applyFill="1" applyProtection="1">
      <protection hidden="1"/>
    </xf>
    <xf numFmtId="0" fontId="12" fillId="4" borderId="0" xfId="0" applyFont="1" applyFill="1" applyProtection="1">
      <protection hidden="1"/>
    </xf>
    <xf numFmtId="169" fontId="12" fillId="4" borderId="1" xfId="0" applyNumberFormat="1" applyFont="1" applyFill="1" applyBorder="1" applyAlignment="1" applyProtection="1">
      <alignment horizontal="center"/>
      <protection hidden="1"/>
    </xf>
    <xf numFmtId="0" fontId="12" fillId="4" borderId="10" xfId="1" applyNumberFormat="1" applyFont="1" applyFill="1" applyBorder="1" applyAlignment="1" applyProtection="1">
      <alignment horizontal="center"/>
      <protection hidden="1"/>
    </xf>
    <xf numFmtId="0" fontId="12" fillId="4" borderId="11" xfId="1" applyNumberFormat="1" applyFont="1" applyFill="1" applyBorder="1" applyAlignment="1" applyProtection="1">
      <alignment horizontal="center"/>
      <protection hidden="1"/>
    </xf>
    <xf numFmtId="0" fontId="12" fillId="4" borderId="12" xfId="1" applyNumberFormat="1" applyFont="1" applyFill="1" applyBorder="1" applyAlignment="1" applyProtection="1">
      <alignment horizontal="center"/>
      <protection hidden="1"/>
    </xf>
    <xf numFmtId="0" fontId="0" fillId="4" borderId="13" xfId="0" applyFill="1" applyBorder="1" applyProtection="1">
      <protection hidden="1"/>
    </xf>
    <xf numFmtId="0" fontId="12" fillId="4" borderId="1" xfId="0" applyFont="1" applyFill="1" applyBorder="1" applyAlignment="1" applyProtection="1">
      <alignment horizontal="center"/>
      <protection hidden="1"/>
    </xf>
    <xf numFmtId="167" fontId="17" fillId="5" borderId="1" xfId="0" applyNumberFormat="1" applyFont="1" applyFill="1" applyBorder="1" applyAlignment="1" applyProtection="1">
      <alignment horizontal="center"/>
      <protection hidden="1"/>
    </xf>
    <xf numFmtId="167" fontId="12" fillId="4" borderId="14" xfId="0" applyNumberFormat="1" applyFont="1" applyFill="1" applyBorder="1" applyAlignment="1" applyProtection="1">
      <alignment horizontal="center"/>
      <protection hidden="1"/>
    </xf>
    <xf numFmtId="167" fontId="12" fillId="4" borderId="15" xfId="0" applyNumberFormat="1" applyFont="1" applyFill="1" applyBorder="1" applyAlignment="1" applyProtection="1">
      <alignment horizontal="center"/>
      <protection hidden="1"/>
    </xf>
    <xf numFmtId="167" fontId="12" fillId="4" borderId="16" xfId="0" applyNumberFormat="1" applyFont="1" applyFill="1" applyBorder="1" applyAlignment="1" applyProtection="1">
      <alignment horizontal="center"/>
      <protection hidden="1"/>
    </xf>
    <xf numFmtId="167" fontId="12" fillId="4" borderId="13" xfId="0" applyNumberFormat="1" applyFont="1" applyFill="1" applyBorder="1" applyAlignment="1" applyProtection="1">
      <alignment horizontal="center"/>
      <protection hidden="1"/>
    </xf>
    <xf numFmtId="167" fontId="12" fillId="4" borderId="0" xfId="0" applyNumberFormat="1" applyFont="1" applyFill="1" applyAlignment="1" applyProtection="1">
      <alignment horizontal="center"/>
      <protection hidden="1"/>
    </xf>
    <xf numFmtId="167" fontId="12" fillId="4" borderId="17" xfId="0" applyNumberFormat="1" applyFont="1" applyFill="1" applyBorder="1" applyAlignment="1" applyProtection="1">
      <alignment horizontal="center"/>
      <protection hidden="1"/>
    </xf>
    <xf numFmtId="15" fontId="12" fillId="4" borderId="1" xfId="0" applyNumberFormat="1" applyFont="1" applyFill="1" applyBorder="1" applyAlignment="1" applyProtection="1">
      <alignment horizontal="center"/>
      <protection hidden="1"/>
    </xf>
    <xf numFmtId="167" fontId="12" fillId="4" borderId="2" xfId="0" applyNumberFormat="1" applyFont="1" applyFill="1" applyBorder="1" applyAlignment="1" applyProtection="1">
      <alignment horizontal="center"/>
      <protection hidden="1"/>
    </xf>
    <xf numFmtId="167" fontId="12" fillId="4" borderId="18" xfId="0" applyNumberFormat="1" applyFont="1" applyFill="1" applyBorder="1" applyAlignment="1" applyProtection="1">
      <alignment horizontal="center"/>
      <protection hidden="1"/>
    </xf>
    <xf numFmtId="167" fontId="12" fillId="4" borderId="19" xfId="0" applyNumberFormat="1" applyFont="1" applyFill="1" applyBorder="1" applyAlignment="1" applyProtection="1">
      <alignment horizontal="center"/>
      <protection hidden="1"/>
    </xf>
    <xf numFmtId="0" fontId="12" fillId="4" borderId="0" xfId="0" applyFont="1" applyFill="1" applyAlignment="1" applyProtection="1">
      <alignment horizontal="center"/>
      <protection hidden="1"/>
    </xf>
    <xf numFmtId="1" fontId="12" fillId="4" borderId="1" xfId="0" applyNumberFormat="1" applyFont="1" applyFill="1" applyBorder="1" applyAlignment="1" applyProtection="1">
      <alignment horizontal="center"/>
      <protection hidden="1"/>
    </xf>
    <xf numFmtId="0" fontId="12" fillId="4" borderId="10" xfId="5" applyNumberFormat="1" applyFont="1" applyFill="1" applyBorder="1" applyAlignment="1" applyProtection="1">
      <alignment horizontal="center"/>
      <protection hidden="1"/>
    </xf>
    <xf numFmtId="0" fontId="12" fillId="4" borderId="11" xfId="5" applyNumberFormat="1" applyFont="1" applyFill="1" applyBorder="1" applyAlignment="1" applyProtection="1">
      <alignment horizontal="center"/>
      <protection hidden="1"/>
    </xf>
    <xf numFmtId="0" fontId="12" fillId="4" borderId="12" xfId="5" applyNumberFormat="1" applyFont="1" applyFill="1" applyBorder="1" applyAlignment="1" applyProtection="1">
      <alignment horizontal="center"/>
      <protection hidden="1"/>
    </xf>
    <xf numFmtId="0" fontId="12" fillId="4" borderId="13" xfId="0" applyFont="1" applyFill="1" applyBorder="1" applyProtection="1">
      <protection hidden="1"/>
    </xf>
    <xf numFmtId="0" fontId="12" fillId="4" borderId="17" xfId="0" applyFont="1" applyFill="1" applyBorder="1" applyAlignment="1" applyProtection="1">
      <alignment horizontal="center"/>
      <protection hidden="1"/>
    </xf>
    <xf numFmtId="0" fontId="18" fillId="4" borderId="0" xfId="0" applyFont="1" applyFill="1" applyAlignment="1" applyProtection="1">
      <alignment horizontal="center"/>
      <protection hidden="1"/>
    </xf>
    <xf numFmtId="167" fontId="12" fillId="5" borderId="1" xfId="0" applyNumberFormat="1" applyFont="1" applyFill="1" applyBorder="1" applyAlignment="1" applyProtection="1">
      <alignment horizontal="center"/>
      <protection hidden="1"/>
    </xf>
    <xf numFmtId="0" fontId="8" fillId="7" borderId="20" xfId="0" applyFont="1" applyFill="1" applyBorder="1" applyProtection="1">
      <protection hidden="1"/>
    </xf>
    <xf numFmtId="0" fontId="12" fillId="7" borderId="21" xfId="0" applyFont="1" applyFill="1" applyBorder="1" applyProtection="1">
      <protection hidden="1"/>
    </xf>
    <xf numFmtId="0" fontId="12" fillId="7" borderId="22" xfId="0" applyFont="1" applyFill="1" applyBorder="1" applyProtection="1">
      <protection hidden="1"/>
    </xf>
    <xf numFmtId="0" fontId="20" fillId="4" borderId="1" xfId="0" applyFont="1" applyFill="1" applyBorder="1" applyProtection="1">
      <protection hidden="1"/>
    </xf>
    <xf numFmtId="0" fontId="10" fillId="4" borderId="1" xfId="0" applyFont="1" applyFill="1" applyBorder="1" applyProtection="1">
      <protection hidden="1"/>
    </xf>
    <xf numFmtId="0" fontId="9" fillId="4" borderId="1" xfId="0" applyFont="1" applyFill="1" applyBorder="1" applyAlignment="1" applyProtection="1">
      <alignment horizontal="center"/>
      <protection hidden="1"/>
    </xf>
    <xf numFmtId="9" fontId="19" fillId="4" borderId="0" xfId="4" applyFont="1" applyFill="1" applyBorder="1" applyAlignment="1" applyProtection="1">
      <alignment horizontal="center" vertical="center"/>
      <protection locked="0" hidden="1"/>
    </xf>
    <xf numFmtId="9" fontId="12" fillId="4" borderId="0" xfId="4" applyFont="1" applyFill="1" applyBorder="1" applyAlignment="1" applyProtection="1">
      <alignment horizontal="center"/>
      <protection hidden="1"/>
    </xf>
    <xf numFmtId="0" fontId="20" fillId="4" borderId="0" xfId="0" applyFont="1" applyFill="1" applyAlignment="1" applyProtection="1">
      <alignment horizontal="center" vertical="top" wrapText="1"/>
      <protection hidden="1"/>
    </xf>
    <xf numFmtId="0" fontId="0" fillId="0" borderId="0" xfId="0" applyAlignment="1" applyProtection="1">
      <alignment vertical="top"/>
      <protection hidden="1"/>
    </xf>
    <xf numFmtId="169" fontId="12" fillId="4" borderId="0" xfId="0" applyNumberFormat="1" applyFont="1" applyFill="1" applyAlignment="1" applyProtection="1">
      <alignment horizontal="center"/>
      <protection hidden="1"/>
    </xf>
    <xf numFmtId="15" fontId="12" fillId="4" borderId="0" xfId="0" applyNumberFormat="1" applyFont="1" applyFill="1" applyAlignment="1" applyProtection="1">
      <alignment horizontal="center"/>
      <protection hidden="1"/>
    </xf>
    <xf numFmtId="1" fontId="12" fillId="4" borderId="0" xfId="0" applyNumberFormat="1" applyFont="1" applyFill="1" applyAlignment="1" applyProtection="1">
      <alignment horizontal="center"/>
      <protection hidden="1"/>
    </xf>
    <xf numFmtId="0" fontId="0" fillId="2" borderId="0" xfId="0" applyFill="1" applyProtection="1">
      <protection hidden="1"/>
    </xf>
    <xf numFmtId="0" fontId="10" fillId="4" borderId="0" xfId="0" applyFont="1" applyFill="1" applyProtection="1">
      <protection hidden="1"/>
    </xf>
    <xf numFmtId="0" fontId="0" fillId="3" borderId="3" xfId="0" applyFill="1" applyBorder="1" applyAlignment="1" applyProtection="1">
      <alignment vertical="top" wrapText="1"/>
      <protection hidden="1"/>
    </xf>
    <xf numFmtId="0" fontId="0" fillId="3" borderId="0" xfId="0" applyFill="1" applyAlignment="1" applyProtection="1">
      <alignment vertical="top" wrapText="1"/>
      <protection hidden="1"/>
    </xf>
    <xf numFmtId="0" fontId="8" fillId="4" borderId="0" xfId="0" applyFont="1" applyFill="1" applyProtection="1">
      <protection hidden="1"/>
    </xf>
    <xf numFmtId="0" fontId="23" fillId="4" borderId="0" xfId="0" applyFont="1" applyFill="1" applyAlignment="1" applyProtection="1">
      <alignment horizontal="center"/>
      <protection hidden="1"/>
    </xf>
    <xf numFmtId="17" fontId="0" fillId="4" borderId="0" xfId="0" applyNumberFormat="1" applyFill="1" applyProtection="1">
      <protection hidden="1"/>
    </xf>
    <xf numFmtId="0" fontId="6" fillId="4" borderId="0" xfId="0" applyFont="1" applyFill="1" applyProtection="1">
      <protection hidden="1"/>
    </xf>
    <xf numFmtId="0" fontId="0" fillId="4" borderId="3" xfId="0" applyFill="1" applyBorder="1" applyProtection="1">
      <protection hidden="1"/>
    </xf>
    <xf numFmtId="0" fontId="0" fillId="4" borderId="4" xfId="0" applyFill="1" applyBorder="1" applyProtection="1">
      <protection hidden="1"/>
    </xf>
    <xf numFmtId="0" fontId="0" fillId="4" borderId="5" xfId="0" applyFill="1" applyBorder="1" applyProtection="1">
      <protection hidden="1"/>
    </xf>
    <xf numFmtId="0" fontId="23" fillId="4" borderId="0" xfId="0" applyFont="1" applyFill="1" applyProtection="1">
      <protection hidden="1"/>
    </xf>
    <xf numFmtId="0" fontId="21" fillId="4" borderId="0" xfId="0" applyFont="1" applyFill="1" applyProtection="1">
      <protection hidden="1"/>
    </xf>
    <xf numFmtId="167" fontId="0" fillId="4" borderId="3" xfId="0" applyNumberFormat="1" applyFill="1" applyBorder="1" applyAlignment="1" applyProtection="1">
      <alignment horizontal="right"/>
      <protection hidden="1"/>
    </xf>
    <xf numFmtId="167" fontId="0" fillId="4" borderId="4" xfId="0" applyNumberFormat="1" applyFill="1" applyBorder="1" applyAlignment="1" applyProtection="1">
      <alignment horizontal="right"/>
      <protection hidden="1"/>
    </xf>
    <xf numFmtId="0" fontId="0" fillId="4" borderId="4" xfId="0" applyFill="1" applyBorder="1" applyAlignment="1" applyProtection="1">
      <alignment horizontal="right"/>
      <protection hidden="1"/>
    </xf>
    <xf numFmtId="0" fontId="0" fillId="4" borderId="5" xfId="0" applyFill="1" applyBorder="1" applyAlignment="1" applyProtection="1">
      <alignment horizontal="right"/>
      <protection hidden="1"/>
    </xf>
    <xf numFmtId="0" fontId="0" fillId="4" borderId="3" xfId="0" applyFill="1" applyBorder="1" applyAlignment="1" applyProtection="1">
      <alignment horizontal="right"/>
      <protection hidden="1"/>
    </xf>
    <xf numFmtId="0" fontId="0" fillId="4" borderId="14" xfId="0" applyFill="1" applyBorder="1" applyProtection="1">
      <protection hidden="1"/>
    </xf>
    <xf numFmtId="0" fontId="0" fillId="4" borderId="2" xfId="0" applyFill="1" applyBorder="1" applyProtection="1">
      <protection hidden="1"/>
    </xf>
    <xf numFmtId="178" fontId="3" fillId="4" borderId="0" xfId="1" applyNumberFormat="1" applyFont="1" applyFill="1" applyProtection="1"/>
    <xf numFmtId="178" fontId="3" fillId="4" borderId="0" xfId="1" applyNumberFormat="1" applyFont="1" applyFill="1" applyBorder="1" applyProtection="1"/>
    <xf numFmtId="0" fontId="14" fillId="3" borderId="0" xfId="0" applyFont="1" applyFill="1" applyProtection="1">
      <protection hidden="1"/>
    </xf>
    <xf numFmtId="0" fontId="0" fillId="3" borderId="6" xfId="0" applyFill="1" applyBorder="1" applyAlignment="1" applyProtection="1">
      <alignment horizontal="center"/>
      <protection hidden="1"/>
    </xf>
    <xf numFmtId="0" fontId="0" fillId="3" borderId="7" xfId="0" applyFill="1" applyBorder="1" applyAlignment="1" applyProtection="1">
      <alignment horizontal="center"/>
      <protection hidden="1"/>
    </xf>
    <xf numFmtId="167" fontId="0" fillId="3" borderId="9" xfId="0" applyNumberFormat="1" applyFill="1" applyBorder="1" applyAlignment="1" applyProtection="1">
      <alignment horizontal="center"/>
      <protection hidden="1"/>
    </xf>
    <xf numFmtId="0" fontId="13" fillId="3" borderId="0" xfId="0" applyFont="1" applyFill="1" applyProtection="1">
      <protection hidden="1"/>
    </xf>
    <xf numFmtId="0" fontId="12" fillId="3" borderId="0" xfId="0" applyFont="1" applyFill="1" applyProtection="1">
      <protection hidden="1"/>
    </xf>
    <xf numFmtId="181" fontId="12" fillId="5" borderId="1" xfId="4" applyNumberFormat="1" applyFont="1" applyFill="1" applyBorder="1" applyAlignment="1" applyProtection="1">
      <alignment horizontal="center"/>
      <protection hidden="1"/>
    </xf>
    <xf numFmtId="181" fontId="12" fillId="5" borderId="1" xfId="0" applyNumberFormat="1" applyFont="1" applyFill="1" applyBorder="1" applyAlignment="1" applyProtection="1">
      <alignment horizontal="center"/>
      <protection hidden="1"/>
    </xf>
    <xf numFmtId="0" fontId="10" fillId="5" borderId="10" xfId="0" applyFont="1" applyFill="1" applyBorder="1" applyProtection="1">
      <protection hidden="1"/>
    </xf>
    <xf numFmtId="167" fontId="12" fillId="5" borderId="12" xfId="0" applyNumberFormat="1" applyFont="1" applyFill="1" applyBorder="1" applyAlignment="1" applyProtection="1">
      <alignment horizontal="center"/>
      <protection hidden="1"/>
    </xf>
    <xf numFmtId="182" fontId="12" fillId="5" borderId="1" xfId="1" applyNumberFormat="1" applyFont="1" applyFill="1" applyBorder="1" applyAlignment="1" applyProtection="1">
      <alignment horizontal="center"/>
      <protection hidden="1"/>
    </xf>
    <xf numFmtId="0" fontId="10" fillId="5" borderId="11" xfId="0" applyFont="1" applyFill="1" applyBorder="1" applyProtection="1">
      <protection hidden="1"/>
    </xf>
    <xf numFmtId="182" fontId="10" fillId="5" borderId="1" xfId="1" applyNumberFormat="1" applyFont="1" applyFill="1" applyBorder="1" applyAlignment="1" applyProtection="1">
      <alignment horizontal="center"/>
      <protection hidden="1"/>
    </xf>
    <xf numFmtId="9" fontId="12" fillId="5" borderId="1" xfId="4" applyFont="1" applyFill="1" applyBorder="1" applyAlignment="1" applyProtection="1">
      <alignment horizontal="center"/>
      <protection hidden="1"/>
    </xf>
    <xf numFmtId="2" fontId="12" fillId="5" borderId="1" xfId="0" applyNumberFormat="1" applyFont="1" applyFill="1" applyBorder="1" applyAlignment="1" applyProtection="1">
      <alignment horizontal="center"/>
      <protection hidden="1"/>
    </xf>
    <xf numFmtId="0" fontId="0" fillId="9" borderId="0" xfId="0" applyFill="1" applyProtection="1">
      <protection hidden="1"/>
    </xf>
    <xf numFmtId="0" fontId="22" fillId="10" borderId="0" xfId="0" applyFont="1" applyFill="1" applyProtection="1">
      <protection hidden="1"/>
    </xf>
    <xf numFmtId="0" fontId="0" fillId="10" borderId="0" xfId="0" applyFill="1" applyProtection="1">
      <protection hidden="1"/>
    </xf>
    <xf numFmtId="0" fontId="0" fillId="9" borderId="0" xfId="0" applyFill="1" applyAlignment="1" applyProtection="1">
      <alignment vertical="top" wrapText="1"/>
      <protection hidden="1"/>
    </xf>
    <xf numFmtId="0" fontId="15" fillId="10" borderId="0" xfId="0" applyFont="1" applyFill="1" applyProtection="1">
      <protection hidden="1"/>
    </xf>
    <xf numFmtId="0" fontId="12" fillId="10" borderId="0" xfId="0" applyFont="1" applyFill="1" applyProtection="1">
      <protection hidden="1"/>
    </xf>
    <xf numFmtId="0" fontId="22" fillId="9" borderId="0" xfId="0" applyFont="1" applyFill="1" applyProtection="1">
      <protection hidden="1"/>
    </xf>
    <xf numFmtId="0" fontId="0" fillId="10" borderId="0" xfId="0" applyFill="1" applyAlignment="1" applyProtection="1">
      <alignment vertical="top"/>
      <protection hidden="1"/>
    </xf>
    <xf numFmtId="0" fontId="0" fillId="9" borderId="0" xfId="0" applyFill="1" applyAlignment="1" applyProtection="1">
      <alignment horizontal="left" vertical="top" wrapText="1"/>
      <protection hidden="1"/>
    </xf>
    <xf numFmtId="0" fontId="0" fillId="10" borderId="0" xfId="0" applyFill="1" applyAlignment="1" applyProtection="1">
      <alignment horizontal="left" vertical="top" wrapText="1"/>
      <protection hidden="1"/>
    </xf>
    <xf numFmtId="0" fontId="32" fillId="6" borderId="10" xfId="0" applyFont="1" applyFill="1" applyBorder="1" applyAlignment="1" applyProtection="1">
      <alignment horizontal="center" vertical="center"/>
      <protection hidden="1"/>
    </xf>
    <xf numFmtId="0" fontId="32" fillId="6" borderId="11" xfId="0" applyFont="1" applyFill="1" applyBorder="1" applyAlignment="1" applyProtection="1">
      <alignment horizontal="center" vertical="center"/>
      <protection hidden="1"/>
    </xf>
    <xf numFmtId="0" fontId="32" fillId="6" borderId="1" xfId="0" applyFont="1" applyFill="1" applyBorder="1" applyAlignment="1" applyProtection="1">
      <alignment horizontal="center" vertical="center"/>
      <protection hidden="1"/>
    </xf>
    <xf numFmtId="0" fontId="0" fillId="6" borderId="1" xfId="0" applyFill="1" applyBorder="1" applyAlignment="1" applyProtection="1">
      <alignment horizontal="center" vertical="center"/>
      <protection hidden="1"/>
    </xf>
    <xf numFmtId="0" fontId="31" fillId="7" borderId="1" xfId="0" applyFont="1" applyFill="1" applyBorder="1" applyAlignment="1" applyProtection="1">
      <alignment wrapText="1"/>
      <protection hidden="1"/>
    </xf>
    <xf numFmtId="0" fontId="0" fillId="6" borderId="1" xfId="0" applyFill="1" applyBorder="1" applyProtection="1">
      <protection hidden="1"/>
    </xf>
    <xf numFmtId="0" fontId="0" fillId="6" borderId="1" xfId="0" applyFill="1" applyBorder="1" applyAlignment="1" applyProtection="1">
      <alignment horizontal="center" vertical="center" wrapText="1"/>
      <protection hidden="1"/>
    </xf>
    <xf numFmtId="0" fontId="31" fillId="3" borderId="1" xfId="0" applyFont="1" applyFill="1" applyBorder="1" applyAlignment="1" applyProtection="1">
      <alignment wrapText="1"/>
      <protection hidden="1"/>
    </xf>
    <xf numFmtId="0" fontId="4" fillId="6" borderId="1" xfId="2" applyFill="1" applyBorder="1" applyAlignment="1" applyProtection="1">
      <alignment horizontal="center" vertical="center"/>
      <protection hidden="1"/>
    </xf>
    <xf numFmtId="0" fontId="31" fillId="3" borderId="1" xfId="0" applyFont="1" applyFill="1" applyBorder="1" applyAlignment="1" applyProtection="1">
      <alignment vertical="top" wrapText="1"/>
      <protection hidden="1"/>
    </xf>
    <xf numFmtId="0" fontId="31" fillId="7" borderId="1" xfId="0" applyFont="1" applyFill="1" applyBorder="1" applyAlignment="1" applyProtection="1">
      <alignment horizontal="left" vertical="top" wrapText="1"/>
      <protection hidden="1"/>
    </xf>
    <xf numFmtId="0" fontId="31" fillId="3" borderId="1" xfId="0" applyFont="1" applyFill="1" applyBorder="1" applyAlignment="1" applyProtection="1">
      <alignment horizontal="left" vertical="top" wrapText="1"/>
      <protection hidden="1"/>
    </xf>
    <xf numFmtId="0" fontId="0" fillId="8" borderId="0" xfId="0" applyFill="1" applyProtection="1">
      <protection hidden="1"/>
    </xf>
    <xf numFmtId="0" fontId="33" fillId="8" borderId="0" xfId="0" applyFont="1" applyFill="1" applyProtection="1">
      <protection hidden="1"/>
    </xf>
    <xf numFmtId="0" fontId="20" fillId="8" borderId="0" xfId="0" applyFont="1" applyFill="1" applyProtection="1">
      <protection hidden="1"/>
    </xf>
    <xf numFmtId="0" fontId="34" fillId="8" borderId="0" xfId="0" applyFont="1" applyFill="1" applyProtection="1">
      <protection hidden="1"/>
    </xf>
    <xf numFmtId="0" fontId="0" fillId="8" borderId="1" xfId="0" applyFill="1" applyBorder="1" applyAlignment="1" applyProtection="1">
      <alignment horizontal="center"/>
      <protection hidden="1"/>
    </xf>
    <xf numFmtId="0" fontId="0" fillId="8" borderId="10" xfId="0" applyFill="1" applyBorder="1" applyAlignment="1" applyProtection="1">
      <alignment horizontal="center"/>
      <protection hidden="1"/>
    </xf>
    <xf numFmtId="0" fontId="0" fillId="8" borderId="11" xfId="0" applyFill="1" applyBorder="1" applyAlignment="1" applyProtection="1">
      <alignment horizontal="center"/>
      <protection hidden="1"/>
    </xf>
    <xf numFmtId="0" fontId="0" fillId="8" borderId="12" xfId="0" applyFill="1" applyBorder="1" applyAlignment="1" applyProtection="1">
      <alignment horizontal="center"/>
      <protection hidden="1"/>
    </xf>
    <xf numFmtId="15" fontId="0" fillId="8" borderId="1" xfId="0" applyNumberFormat="1" applyFill="1" applyBorder="1" applyProtection="1">
      <protection hidden="1"/>
    </xf>
    <xf numFmtId="2" fontId="0" fillId="8" borderId="1" xfId="0" applyNumberFormat="1" applyFill="1" applyBorder="1" applyProtection="1">
      <protection hidden="1"/>
    </xf>
    <xf numFmtId="0" fontId="0" fillId="8" borderId="10" xfId="0" applyFill="1" applyBorder="1" applyProtection="1">
      <protection hidden="1"/>
    </xf>
    <xf numFmtId="0" fontId="0" fillId="8" borderId="11" xfId="0" applyFill="1" applyBorder="1" applyProtection="1">
      <protection hidden="1"/>
    </xf>
    <xf numFmtId="0" fontId="0" fillId="8" borderId="12" xfId="0" applyFill="1" applyBorder="1" applyProtection="1">
      <protection hidden="1"/>
    </xf>
    <xf numFmtId="2" fontId="0" fillId="8" borderId="1" xfId="0" applyNumberFormat="1" applyFill="1" applyBorder="1" applyAlignment="1" applyProtection="1">
      <alignment horizontal="right"/>
      <protection hidden="1"/>
    </xf>
    <xf numFmtId="0" fontId="0" fillId="8" borderId="1" xfId="0" applyFill="1" applyBorder="1" applyProtection="1">
      <protection hidden="1"/>
    </xf>
    <xf numFmtId="0" fontId="0" fillId="8" borderId="1" xfId="0" applyFill="1" applyBorder="1" applyAlignment="1" applyProtection="1">
      <alignment vertical="top" wrapText="1"/>
      <protection hidden="1"/>
    </xf>
    <xf numFmtId="2" fontId="0" fillId="8" borderId="1" xfId="0" applyNumberFormat="1" applyFill="1" applyBorder="1" applyAlignment="1" applyProtection="1">
      <alignment vertical="top" wrapText="1"/>
      <protection hidden="1"/>
    </xf>
    <xf numFmtId="0" fontId="0" fillId="8" borderId="10" xfId="0" applyFill="1" applyBorder="1" applyAlignment="1" applyProtection="1">
      <alignment vertical="top" wrapText="1"/>
      <protection hidden="1"/>
    </xf>
    <xf numFmtId="0" fontId="0" fillId="8" borderId="11" xfId="0" applyFill="1" applyBorder="1" applyAlignment="1" applyProtection="1">
      <alignment vertical="top" wrapText="1"/>
      <protection hidden="1"/>
    </xf>
    <xf numFmtId="2" fontId="0" fillId="3" borderId="3" xfId="0" applyNumberFormat="1" applyFill="1" applyBorder="1"/>
    <xf numFmtId="2" fontId="0" fillId="3" borderId="4" xfId="0" applyNumberFormat="1" applyFill="1" applyBorder="1"/>
    <xf numFmtId="2" fontId="0" fillId="3" borderId="5" xfId="0" applyNumberFormat="1" applyFill="1" applyBorder="1"/>
    <xf numFmtId="166" fontId="3" fillId="3" borderId="1" xfId="4" applyNumberFormat="1" applyFont="1" applyFill="1" applyBorder="1"/>
    <xf numFmtId="178" fontId="3" fillId="3" borderId="3" xfId="1" applyNumberFormat="1" applyFont="1" applyFill="1" applyBorder="1"/>
    <xf numFmtId="178" fontId="3" fillId="3" borderId="4" xfId="1" applyNumberFormat="1" applyFont="1" applyFill="1" applyBorder="1"/>
    <xf numFmtId="178" fontId="3" fillId="3" borderId="5" xfId="1" applyNumberFormat="1" applyFont="1" applyFill="1" applyBorder="1"/>
    <xf numFmtId="165" fontId="3" fillId="4" borderId="1" xfId="1" applyFont="1" applyFill="1" applyBorder="1" applyProtection="1">
      <protection hidden="1"/>
    </xf>
    <xf numFmtId="165" fontId="3" fillId="4" borderId="1" xfId="5" applyFill="1" applyProtection="1">
      <protection hidden="1"/>
    </xf>
    <xf numFmtId="0" fontId="30" fillId="4" borderId="0" xfId="2" applyFont="1" applyFill="1" applyBorder="1" applyAlignment="1" applyProtection="1">
      <alignment horizontal="center" vertical="center"/>
    </xf>
    <xf numFmtId="0" fontId="0" fillId="4" borderId="10" xfId="0" applyFill="1" applyBorder="1" applyProtection="1">
      <protection hidden="1"/>
    </xf>
    <xf numFmtId="0" fontId="0" fillId="4" borderId="11" xfId="0" applyFill="1" applyBorder="1" applyProtection="1">
      <protection hidden="1"/>
    </xf>
    <xf numFmtId="0" fontId="0" fillId="4" borderId="12" xfId="0" applyFill="1" applyBorder="1" applyProtection="1">
      <protection hidden="1"/>
    </xf>
    <xf numFmtId="179" fontId="12" fillId="4" borderId="10" xfId="1" applyNumberFormat="1" applyFont="1" applyFill="1" applyBorder="1" applyProtection="1">
      <protection hidden="1"/>
    </xf>
    <xf numFmtId="15" fontId="0" fillId="8" borderId="1" xfId="0" applyNumberFormat="1" applyFill="1" applyBorder="1" applyAlignment="1" applyProtection="1">
      <alignment vertical="top" wrapText="1"/>
      <protection hidden="1"/>
    </xf>
    <xf numFmtId="0" fontId="0" fillId="3" borderId="0" xfId="0" applyFill="1" applyAlignment="1">
      <alignment horizontal="center"/>
    </xf>
    <xf numFmtId="167" fontId="0" fillId="3" borderId="0" xfId="0" applyNumberFormat="1" applyFill="1"/>
    <xf numFmtId="2" fontId="0" fillId="3" borderId="0" xfId="0" applyNumberFormat="1" applyFill="1"/>
    <xf numFmtId="10" fontId="0" fillId="3" borderId="0" xfId="0" applyNumberFormat="1" applyFill="1"/>
    <xf numFmtId="175" fontId="0" fillId="3" borderId="11" xfId="0" applyNumberFormat="1" applyFill="1" applyBorder="1" applyProtection="1">
      <protection hidden="1"/>
    </xf>
    <xf numFmtId="184" fontId="0" fillId="4" borderId="0" xfId="1" applyNumberFormat="1" applyFont="1" applyFill="1" applyBorder="1" applyAlignment="1">
      <alignment horizontal="center"/>
    </xf>
    <xf numFmtId="0" fontId="0" fillId="15" borderId="1" xfId="0" applyFill="1" applyBorder="1" applyProtection="1">
      <protection hidden="1"/>
    </xf>
    <xf numFmtId="171" fontId="0" fillId="4" borderId="0" xfId="0" applyNumberFormat="1" applyFill="1" applyProtection="1">
      <protection hidden="1"/>
    </xf>
    <xf numFmtId="165" fontId="0" fillId="4" borderId="1" xfId="1" applyFont="1" applyFill="1" applyBorder="1"/>
    <xf numFmtId="0" fontId="0" fillId="4" borderId="19" xfId="0" applyFill="1" applyBorder="1"/>
    <xf numFmtId="0" fontId="31" fillId="7" borderId="3" xfId="0" applyFont="1" applyFill="1" applyBorder="1" applyAlignment="1" applyProtection="1">
      <alignment wrapText="1"/>
      <protection hidden="1"/>
    </xf>
    <xf numFmtId="0" fontId="31" fillId="7" borderId="4" xfId="0" applyFont="1" applyFill="1" applyBorder="1" applyAlignment="1" applyProtection="1">
      <alignment wrapText="1"/>
      <protection hidden="1"/>
    </xf>
    <xf numFmtId="9" fontId="0" fillId="3" borderId="0" xfId="0" applyNumberFormat="1" applyFill="1" applyAlignment="1" applyProtection="1">
      <alignment horizontal="center" vertical="center"/>
      <protection hidden="1"/>
    </xf>
    <xf numFmtId="15" fontId="0" fillId="4" borderId="0" xfId="0" applyNumberFormat="1" applyFill="1"/>
    <xf numFmtId="9" fontId="0" fillId="4" borderId="0" xfId="0" applyNumberFormat="1" applyFill="1"/>
    <xf numFmtId="14" fontId="0" fillId="4" borderId="0" xfId="0" applyNumberFormat="1" applyFill="1"/>
    <xf numFmtId="2" fontId="0" fillId="4" borderId="0" xfId="0" applyNumberFormat="1" applyFill="1"/>
    <xf numFmtId="171" fontId="3" fillId="3" borderId="3" xfId="4" applyNumberFormat="1" applyFont="1" applyFill="1" applyBorder="1" applyProtection="1">
      <protection hidden="1"/>
    </xf>
    <xf numFmtId="171" fontId="3" fillId="3" borderId="4" xfId="4" applyNumberFormat="1" applyFont="1" applyFill="1" applyBorder="1" applyProtection="1">
      <protection hidden="1"/>
    </xf>
    <xf numFmtId="171" fontId="3" fillId="3" borderId="5" xfId="4" applyNumberFormat="1" applyFont="1" applyFill="1" applyBorder="1" applyProtection="1">
      <protection hidden="1"/>
    </xf>
    <xf numFmtId="0" fontId="44" fillId="0" borderId="0" xfId="0" applyFont="1" applyProtection="1">
      <protection locked="0"/>
    </xf>
    <xf numFmtId="0" fontId="0" fillId="0" borderId="0" xfId="0" applyProtection="1">
      <protection locked="0"/>
    </xf>
    <xf numFmtId="0" fontId="12" fillId="5" borderId="13" xfId="0" applyFont="1" applyFill="1" applyBorder="1" applyProtection="1">
      <protection hidden="1"/>
    </xf>
    <xf numFmtId="2" fontId="23" fillId="4" borderId="0" xfId="0" applyNumberFormat="1" applyFont="1" applyFill="1"/>
    <xf numFmtId="186" fontId="0" fillId="3" borderId="0" xfId="0" applyNumberFormat="1" applyFill="1" applyProtection="1">
      <protection hidden="1"/>
    </xf>
    <xf numFmtId="1" fontId="0" fillId="3" borderId="8" xfId="0" applyNumberFormat="1" applyFill="1" applyBorder="1" applyAlignment="1" applyProtection="1">
      <alignment horizontal="center"/>
      <protection hidden="1"/>
    </xf>
    <xf numFmtId="43" fontId="0" fillId="3" borderId="0" xfId="0" applyNumberFormat="1" applyFill="1" applyProtection="1">
      <protection hidden="1"/>
    </xf>
    <xf numFmtId="0" fontId="0" fillId="4" borderId="0" xfId="0" applyFill="1" applyProtection="1">
      <protection locked="0"/>
    </xf>
    <xf numFmtId="0" fontId="0" fillId="4" borderId="0" xfId="0" applyFill="1" applyAlignment="1" applyProtection="1">
      <alignment horizontal="left"/>
      <protection locked="0"/>
    </xf>
    <xf numFmtId="0" fontId="39" fillId="4" borderId="0" xfId="0" applyFont="1" applyFill="1" applyProtection="1">
      <protection locked="0"/>
    </xf>
    <xf numFmtId="0" fontId="39" fillId="0" borderId="0" xfId="0" applyFont="1" applyProtection="1">
      <protection locked="0"/>
    </xf>
    <xf numFmtId="166" fontId="39" fillId="4" borderId="0" xfId="4" applyNumberFormat="1" applyFont="1" applyFill="1" applyProtection="1">
      <protection locked="0"/>
    </xf>
    <xf numFmtId="0" fontId="39" fillId="0" borderId="0" xfId="0" applyFont="1"/>
    <xf numFmtId="0" fontId="0" fillId="17" borderId="28" xfId="0" applyFill="1" applyBorder="1" applyProtection="1">
      <protection hidden="1"/>
    </xf>
    <xf numFmtId="0" fontId="0" fillId="17" borderId="29" xfId="0" applyFill="1" applyBorder="1" applyProtection="1">
      <protection hidden="1"/>
    </xf>
    <xf numFmtId="0" fontId="0" fillId="17" borderId="30" xfId="0" applyFill="1" applyBorder="1" applyProtection="1">
      <protection hidden="1"/>
    </xf>
    <xf numFmtId="0" fontId="0" fillId="17" borderId="10" xfId="0" applyFill="1" applyBorder="1" applyProtection="1">
      <protection hidden="1"/>
    </xf>
    <xf numFmtId="0" fontId="0" fillId="17" borderId="11" xfId="0" applyFill="1" applyBorder="1" applyProtection="1">
      <protection hidden="1"/>
    </xf>
    <xf numFmtId="0" fontId="0" fillId="17" borderId="12" xfId="0" applyFill="1" applyBorder="1" applyProtection="1">
      <protection hidden="1"/>
    </xf>
    <xf numFmtId="0" fontId="44" fillId="3" borderId="0" xfId="0" applyFont="1" applyFill="1"/>
    <xf numFmtId="2" fontId="44" fillId="3" borderId="0" xfId="0" applyNumberFormat="1" applyFont="1" applyFill="1"/>
    <xf numFmtId="164" fontId="44" fillId="3" borderId="0" xfId="0" applyNumberFormat="1" applyFont="1" applyFill="1"/>
    <xf numFmtId="9" fontId="44" fillId="3" borderId="0" xfId="0" applyNumberFormat="1" applyFont="1" applyFill="1"/>
    <xf numFmtId="0" fontId="39" fillId="3" borderId="3" xfId="0" applyFont="1" applyFill="1" applyBorder="1" applyAlignment="1" applyProtection="1">
      <alignment horizontal="center"/>
      <protection hidden="1"/>
    </xf>
    <xf numFmtId="0" fontId="39" fillId="3" borderId="5" xfId="0" applyFont="1" applyFill="1" applyBorder="1" applyAlignment="1" applyProtection="1">
      <alignment horizontal="center"/>
      <protection hidden="1"/>
    </xf>
    <xf numFmtId="168" fontId="39" fillId="3" borderId="4" xfId="0" applyNumberFormat="1" applyFont="1" applyFill="1" applyBorder="1" applyProtection="1">
      <protection hidden="1"/>
    </xf>
    <xf numFmtId="185" fontId="39" fillId="3" borderId="3" xfId="0" applyNumberFormat="1" applyFont="1" applyFill="1" applyBorder="1" applyProtection="1">
      <protection hidden="1"/>
    </xf>
    <xf numFmtId="168" fontId="39" fillId="3" borderId="3" xfId="0" applyNumberFormat="1" applyFont="1" applyFill="1" applyBorder="1" applyProtection="1">
      <protection hidden="1"/>
    </xf>
    <xf numFmtId="185" fontId="39" fillId="3" borderId="4" xfId="0" applyNumberFormat="1" applyFont="1" applyFill="1" applyBorder="1" applyProtection="1">
      <protection hidden="1"/>
    </xf>
    <xf numFmtId="0" fontId="39" fillId="3" borderId="5" xfId="0" applyFont="1" applyFill="1" applyBorder="1" applyProtection="1">
      <protection hidden="1"/>
    </xf>
    <xf numFmtId="0" fontId="10" fillId="4" borderId="10" xfId="0" applyFont="1" applyFill="1" applyBorder="1" applyAlignment="1" applyProtection="1">
      <alignment horizontal="center"/>
      <protection hidden="1"/>
    </xf>
    <xf numFmtId="0" fontId="10" fillId="4" borderId="12" xfId="0" applyFont="1" applyFill="1" applyBorder="1" applyAlignment="1" applyProtection="1">
      <alignment horizontal="center"/>
      <protection hidden="1"/>
    </xf>
    <xf numFmtId="0" fontId="10" fillId="4" borderId="11" xfId="0" applyFont="1" applyFill="1" applyBorder="1" applyAlignment="1" applyProtection="1">
      <alignment horizontal="center"/>
      <protection hidden="1"/>
    </xf>
    <xf numFmtId="0" fontId="0" fillId="18" borderId="0" xfId="0" applyFill="1"/>
    <xf numFmtId="0" fontId="0" fillId="3" borderId="1" xfId="0" applyFill="1" applyBorder="1" applyAlignment="1">
      <alignment horizontal="center"/>
    </xf>
    <xf numFmtId="0" fontId="10" fillId="4" borderId="11" xfId="0" applyFont="1" applyFill="1" applyBorder="1" applyAlignment="1">
      <alignment horizontal="center"/>
    </xf>
    <xf numFmtId="0" fontId="0" fillId="4" borderId="1" xfId="0" applyFill="1" applyBorder="1" applyAlignment="1" applyProtection="1">
      <alignment horizontal="center"/>
      <protection locked="0"/>
    </xf>
    <xf numFmtId="0" fontId="0" fillId="4" borderId="0" xfId="0" applyFill="1" applyAlignment="1" applyProtection="1">
      <alignment horizontal="center"/>
      <protection locked="0"/>
    </xf>
    <xf numFmtId="0" fontId="10" fillId="3" borderId="11" xfId="0" applyFont="1" applyFill="1" applyBorder="1"/>
    <xf numFmtId="178" fontId="12" fillId="4" borderId="12" xfId="1" applyNumberFormat="1" applyFont="1" applyFill="1" applyBorder="1" applyProtection="1">
      <protection hidden="1"/>
    </xf>
    <xf numFmtId="166" fontId="12" fillId="4" borderId="1" xfId="4" applyNumberFormat="1" applyFont="1" applyFill="1" applyBorder="1" applyProtection="1">
      <protection hidden="1"/>
    </xf>
    <xf numFmtId="166" fontId="12" fillId="4" borderId="1" xfId="4" applyNumberFormat="1" applyFont="1" applyFill="1" applyBorder="1" applyAlignment="1" applyProtection="1">
      <alignment horizontal="center" vertical="center"/>
      <protection hidden="1"/>
    </xf>
    <xf numFmtId="166" fontId="16" fillId="2" borderId="1" xfId="0" applyNumberFormat="1" applyFont="1" applyFill="1" applyBorder="1" applyAlignment="1" applyProtection="1">
      <alignment horizontal="center"/>
      <protection locked="0"/>
    </xf>
    <xf numFmtId="166" fontId="16" fillId="2" borderId="12" xfId="0" applyNumberFormat="1" applyFont="1" applyFill="1" applyBorder="1" applyAlignment="1" applyProtection="1">
      <alignment horizontal="center"/>
      <protection locked="0"/>
    </xf>
    <xf numFmtId="43" fontId="5" fillId="2" borderId="1" xfId="1" applyNumberFormat="1" applyFont="1" applyFill="1" applyBorder="1" applyAlignment="1" applyProtection="1">
      <alignment horizontal="center"/>
      <protection locked="0"/>
    </xf>
    <xf numFmtId="166" fontId="3" fillId="4" borderId="1" xfId="4" applyNumberFormat="1" applyFill="1" applyBorder="1" applyProtection="1">
      <protection hidden="1"/>
    </xf>
    <xf numFmtId="0" fontId="0" fillId="9" borderId="1" xfId="0" applyFill="1" applyBorder="1" applyAlignment="1" applyProtection="1">
      <alignment horizontal="center" vertical="top"/>
      <protection hidden="1"/>
    </xf>
    <xf numFmtId="0" fontId="0" fillId="9" borderId="1" xfId="0" applyFill="1" applyBorder="1" applyAlignment="1" applyProtection="1">
      <alignment horizontal="center" vertical="top" wrapText="1"/>
      <protection hidden="1"/>
    </xf>
    <xf numFmtId="15" fontId="0" fillId="3" borderId="4" xfId="0" applyNumberFormat="1" applyFill="1" applyBorder="1" applyAlignment="1" applyProtection="1">
      <alignment horizontal="center"/>
      <protection hidden="1"/>
    </xf>
    <xf numFmtId="0" fontId="0" fillId="3" borderId="13" xfId="0" applyFill="1" applyBorder="1" applyProtection="1">
      <protection hidden="1"/>
    </xf>
    <xf numFmtId="0" fontId="0" fillId="3" borderId="0" xfId="0" applyFill="1" applyAlignment="1" applyProtection="1">
      <alignment wrapText="1"/>
      <protection hidden="1"/>
    </xf>
    <xf numFmtId="175" fontId="3" fillId="3" borderId="4" xfId="4" applyNumberFormat="1" applyFont="1" applyFill="1" applyBorder="1" applyProtection="1">
      <protection hidden="1"/>
    </xf>
    <xf numFmtId="175" fontId="3" fillId="3" borderId="5" xfId="4" applyNumberFormat="1" applyFont="1" applyFill="1" applyBorder="1" applyProtection="1">
      <protection hidden="1"/>
    </xf>
    <xf numFmtId="0" fontId="4" fillId="6" borderId="1" xfId="2" quotePrefix="1" applyFill="1" applyBorder="1" applyAlignment="1" applyProtection="1">
      <alignment horizontal="center" vertical="center"/>
      <protection hidden="1"/>
    </xf>
    <xf numFmtId="0" fontId="31" fillId="3" borderId="4" xfId="0" applyFont="1" applyFill="1" applyBorder="1" applyAlignment="1" applyProtection="1">
      <alignment wrapText="1"/>
      <protection hidden="1"/>
    </xf>
    <xf numFmtId="0" fontId="31" fillId="3" borderId="5" xfId="0" applyFont="1" applyFill="1" applyBorder="1" applyAlignment="1" applyProtection="1">
      <alignment wrapText="1"/>
      <protection hidden="1"/>
    </xf>
    <xf numFmtId="0" fontId="0" fillId="3" borderId="14" xfId="0" applyFill="1" applyBorder="1" applyAlignment="1" applyProtection="1">
      <alignment horizontal="center"/>
      <protection hidden="1"/>
    </xf>
    <xf numFmtId="178" fontId="3" fillId="3" borderId="15" xfId="1" applyNumberFormat="1" applyFont="1" applyFill="1" applyBorder="1" applyProtection="1">
      <protection hidden="1"/>
    </xf>
    <xf numFmtId="0" fontId="39" fillId="3" borderId="0" xfId="0" applyFont="1" applyFill="1"/>
    <xf numFmtId="0" fontId="39" fillId="3" borderId="0" xfId="0" applyFont="1" applyFill="1" applyProtection="1">
      <protection hidden="1"/>
    </xf>
    <xf numFmtId="0" fontId="39" fillId="3" borderId="0" xfId="0" applyFont="1" applyFill="1" applyAlignment="1">
      <alignment horizontal="center"/>
    </xf>
    <xf numFmtId="167" fontId="39" fillId="3" borderId="0" xfId="0" applyNumberFormat="1" applyFont="1" applyFill="1"/>
    <xf numFmtId="0" fontId="36" fillId="8" borderId="0" xfId="2" applyFont="1" applyFill="1" applyAlignment="1" applyProtection="1">
      <protection hidden="1"/>
    </xf>
    <xf numFmtId="0" fontId="35" fillId="8" borderId="0" xfId="0" applyFont="1" applyFill="1" applyProtection="1">
      <protection hidden="1"/>
    </xf>
    <xf numFmtId="178" fontId="12" fillId="4" borderId="0" xfId="0" applyNumberFormat="1" applyFont="1" applyFill="1" applyAlignment="1" applyProtection="1">
      <alignment horizontal="left"/>
      <protection hidden="1"/>
    </xf>
    <xf numFmtId="43" fontId="12" fillId="4" borderId="0" xfId="0" applyNumberFormat="1" applyFont="1" applyFill="1" applyAlignment="1" applyProtection="1">
      <alignment horizontal="left"/>
      <protection hidden="1"/>
    </xf>
    <xf numFmtId="14" fontId="0" fillId="3" borderId="0" xfId="0" applyNumberFormat="1" applyFill="1"/>
    <xf numFmtId="166" fontId="12" fillId="5" borderId="1" xfId="0" applyNumberFormat="1" applyFont="1" applyFill="1" applyBorder="1" applyAlignment="1" applyProtection="1">
      <alignment horizontal="center"/>
      <protection hidden="1"/>
    </xf>
    <xf numFmtId="0" fontId="27" fillId="3" borderId="0" xfId="0" applyFont="1" applyFill="1"/>
    <xf numFmtId="166" fontId="0" fillId="3" borderId="0" xfId="0" applyNumberFormat="1" applyFill="1" applyProtection="1">
      <protection hidden="1"/>
    </xf>
    <xf numFmtId="0" fontId="27" fillId="3" borderId="0" xfId="0" applyFont="1" applyFill="1" applyProtection="1">
      <protection locked="0"/>
    </xf>
    <xf numFmtId="9" fontId="27" fillId="3" borderId="0" xfId="0" applyNumberFormat="1" applyFont="1" applyFill="1" applyProtection="1">
      <protection locked="0"/>
    </xf>
    <xf numFmtId="9" fontId="27" fillId="3" borderId="0" xfId="4" applyFont="1" applyFill="1" applyBorder="1" applyProtection="1">
      <protection locked="0"/>
    </xf>
    <xf numFmtId="167" fontId="27" fillId="3" borderId="0" xfId="0" applyNumberFormat="1" applyFont="1" applyFill="1" applyProtection="1">
      <protection locked="0"/>
    </xf>
    <xf numFmtId="0" fontId="46" fillId="3" borderId="0" xfId="0" applyFont="1" applyFill="1"/>
    <xf numFmtId="0" fontId="10" fillId="3" borderId="10" xfId="0" applyFont="1" applyFill="1" applyBorder="1" applyProtection="1">
      <protection hidden="1"/>
    </xf>
    <xf numFmtId="0" fontId="0" fillId="4" borderId="1" xfId="0" applyFill="1" applyBorder="1" applyProtection="1">
      <protection locked="0" hidden="1"/>
    </xf>
    <xf numFmtId="0" fontId="0" fillId="4" borderId="1" xfId="0" applyFill="1" applyBorder="1" applyAlignment="1" applyProtection="1">
      <alignment horizontal="left"/>
      <protection locked="0" hidden="1"/>
    </xf>
    <xf numFmtId="0" fontId="31" fillId="7" borderId="18" xfId="0" applyFont="1" applyFill="1" applyBorder="1" applyAlignment="1" applyProtection="1">
      <alignment wrapText="1"/>
      <protection hidden="1"/>
    </xf>
    <xf numFmtId="0" fontId="0" fillId="4" borderId="5" xfId="0" applyFill="1" applyBorder="1" applyAlignment="1" applyProtection="1">
      <alignment horizontal="center"/>
      <protection hidden="1"/>
    </xf>
    <xf numFmtId="0" fontId="22" fillId="4" borderId="0" xfId="0" applyFont="1" applyFill="1" applyProtection="1">
      <protection hidden="1"/>
    </xf>
    <xf numFmtId="2" fontId="0" fillId="4" borderId="1" xfId="0" applyNumberFormat="1" applyFill="1" applyBorder="1" applyProtection="1">
      <protection hidden="1"/>
    </xf>
    <xf numFmtId="0" fontId="0" fillId="3" borderId="13" xfId="0" applyFill="1" applyBorder="1" applyAlignment="1" applyProtection="1">
      <alignment horizontal="center"/>
      <protection hidden="1"/>
    </xf>
    <xf numFmtId="0" fontId="0" fillId="3" borderId="2" xfId="0" applyFill="1" applyBorder="1" applyAlignment="1" applyProtection="1">
      <alignment horizontal="center"/>
      <protection hidden="1"/>
    </xf>
    <xf numFmtId="0" fontId="0" fillId="3" borderId="17" xfId="0" applyFill="1" applyBorder="1" applyProtection="1">
      <protection hidden="1"/>
    </xf>
    <xf numFmtId="10" fontId="0" fillId="3" borderId="1" xfId="0" applyNumberFormat="1" applyFill="1" applyBorder="1" applyProtection="1">
      <protection hidden="1"/>
    </xf>
    <xf numFmtId="0" fontId="0" fillId="16" borderId="13" xfId="0" applyFill="1" applyBorder="1" applyAlignment="1" applyProtection="1">
      <alignment horizontal="left" wrapText="1"/>
      <protection hidden="1"/>
    </xf>
    <xf numFmtId="0" fontId="0" fillId="16" borderId="0" xfId="0" applyFill="1" applyAlignment="1" applyProtection="1">
      <alignment horizontal="left" wrapText="1"/>
      <protection hidden="1"/>
    </xf>
    <xf numFmtId="0" fontId="0" fillId="16" borderId="17" xfId="0" applyFill="1" applyBorder="1" applyAlignment="1" applyProtection="1">
      <alignment horizontal="left" wrapText="1"/>
      <protection hidden="1"/>
    </xf>
    <xf numFmtId="0" fontId="5" fillId="2" borderId="1" xfId="3" applyProtection="1">
      <alignment horizontal="center"/>
      <protection hidden="1"/>
    </xf>
    <xf numFmtId="15" fontId="0" fillId="4" borderId="1" xfId="0" applyNumberFormat="1" applyFill="1" applyBorder="1" applyProtection="1">
      <protection hidden="1"/>
    </xf>
    <xf numFmtId="0" fontId="0" fillId="4" borderId="3" xfId="0" applyFill="1" applyBorder="1" applyAlignment="1" applyProtection="1">
      <alignment horizontal="center" vertical="center"/>
      <protection hidden="1"/>
    </xf>
    <xf numFmtId="0" fontId="0" fillId="4" borderId="4" xfId="0" applyFill="1" applyBorder="1" applyAlignment="1" applyProtection="1">
      <alignment vertical="center"/>
      <protection hidden="1"/>
    </xf>
    <xf numFmtId="0" fontId="0" fillId="4" borderId="4" xfId="0" applyFill="1" applyBorder="1" applyAlignment="1" applyProtection="1">
      <alignment horizontal="center"/>
      <protection hidden="1"/>
    </xf>
    <xf numFmtId="0" fontId="0" fillId="4" borderId="5" xfId="0" applyFill="1" applyBorder="1" applyAlignment="1" applyProtection="1">
      <alignment vertical="center"/>
      <protection hidden="1"/>
    </xf>
    <xf numFmtId="171" fontId="0" fillId="4" borderId="1" xfId="0" applyNumberFormat="1" applyFill="1" applyBorder="1" applyAlignment="1" applyProtection="1">
      <alignment horizontal="center"/>
      <protection hidden="1"/>
    </xf>
    <xf numFmtId="171" fontId="0" fillId="4" borderId="1" xfId="0" applyNumberFormat="1" applyFill="1" applyBorder="1" applyProtection="1">
      <protection hidden="1"/>
    </xf>
    <xf numFmtId="0" fontId="0" fillId="4" borderId="1" xfId="0" applyFill="1" applyBorder="1" applyAlignment="1" applyProtection="1">
      <alignment horizontal="right"/>
      <protection hidden="1"/>
    </xf>
    <xf numFmtId="9" fontId="0" fillId="4" borderId="4" xfId="0" applyNumberFormat="1" applyFill="1" applyBorder="1" applyAlignment="1" applyProtection="1">
      <alignment horizontal="right"/>
      <protection hidden="1"/>
    </xf>
    <xf numFmtId="9" fontId="0" fillId="4" borderId="5" xfId="0" applyNumberFormat="1" applyFill="1" applyBorder="1" applyProtection="1">
      <protection hidden="1"/>
    </xf>
    <xf numFmtId="9" fontId="0" fillId="4" borderId="1" xfId="0" applyNumberFormat="1" applyFill="1" applyBorder="1" applyProtection="1">
      <protection hidden="1"/>
    </xf>
    <xf numFmtId="2" fontId="6" fillId="4" borderId="1" xfId="0" applyNumberFormat="1" applyFont="1" applyFill="1" applyBorder="1" applyProtection="1">
      <protection hidden="1"/>
    </xf>
    <xf numFmtId="0" fontId="6" fillId="4" borderId="1" xfId="0" applyFont="1" applyFill="1" applyBorder="1" applyProtection="1">
      <protection hidden="1"/>
    </xf>
    <xf numFmtId="2" fontId="23" fillId="4" borderId="1" xfId="0" applyNumberFormat="1" applyFont="1" applyFill="1" applyBorder="1" applyProtection="1">
      <protection hidden="1"/>
    </xf>
    <xf numFmtId="0" fontId="23" fillId="4" borderId="1" xfId="0" applyFont="1" applyFill="1" applyBorder="1" applyProtection="1">
      <protection hidden="1"/>
    </xf>
    <xf numFmtId="2" fontId="0" fillId="4" borderId="4" xfId="0" applyNumberFormat="1" applyFill="1" applyBorder="1" applyProtection="1">
      <protection hidden="1"/>
    </xf>
    <xf numFmtId="173" fontId="0" fillId="4" borderId="4" xfId="0" applyNumberFormat="1" applyFill="1" applyBorder="1" applyProtection="1">
      <protection hidden="1"/>
    </xf>
    <xf numFmtId="2" fontId="0" fillId="4" borderId="3" xfId="0" applyNumberFormat="1" applyFill="1" applyBorder="1" applyProtection="1">
      <protection hidden="1"/>
    </xf>
    <xf numFmtId="171" fontId="0" fillId="4" borderId="3" xfId="0" applyNumberFormat="1" applyFill="1" applyBorder="1" applyProtection="1">
      <protection hidden="1"/>
    </xf>
    <xf numFmtId="171" fontId="0" fillId="4" borderId="4" xfId="0" applyNumberFormat="1" applyFill="1" applyBorder="1" applyProtection="1">
      <protection hidden="1"/>
    </xf>
    <xf numFmtId="2" fontId="0" fillId="4" borderId="5" xfId="0" applyNumberFormat="1" applyFill="1" applyBorder="1" applyProtection="1">
      <protection hidden="1"/>
    </xf>
    <xf numFmtId="173" fontId="0" fillId="4" borderId="5" xfId="0" applyNumberFormat="1" applyFill="1" applyBorder="1" applyProtection="1">
      <protection hidden="1"/>
    </xf>
    <xf numFmtId="171" fontId="0" fillId="4" borderId="5" xfId="0" applyNumberFormat="1" applyFill="1" applyBorder="1" applyProtection="1">
      <protection hidden="1"/>
    </xf>
    <xf numFmtId="15" fontId="0" fillId="4" borderId="1" xfId="0" applyNumberFormat="1" applyFill="1" applyBorder="1" applyAlignment="1" applyProtection="1">
      <alignment horizontal="center"/>
      <protection hidden="1"/>
    </xf>
    <xf numFmtId="184" fontId="0" fillId="4" borderId="1" xfId="1" applyNumberFormat="1" applyFont="1" applyFill="1" applyBorder="1" applyAlignment="1" applyProtection="1">
      <alignment horizontal="center"/>
      <protection hidden="1"/>
    </xf>
    <xf numFmtId="0" fontId="11" fillId="3" borderId="0" xfId="0" applyFont="1" applyFill="1" applyProtection="1">
      <protection hidden="1"/>
    </xf>
    <xf numFmtId="0" fontId="29" fillId="6" borderId="1" xfId="2" applyFont="1" applyFill="1" applyBorder="1" applyAlignment="1" applyProtection="1">
      <alignment horizontal="center" vertical="center"/>
      <protection hidden="1"/>
    </xf>
    <xf numFmtId="0" fontId="12" fillId="3" borderId="1" xfId="0" applyFont="1" applyFill="1" applyBorder="1" applyProtection="1">
      <protection hidden="1"/>
    </xf>
    <xf numFmtId="0" fontId="28" fillId="3" borderId="1" xfId="2" applyFont="1" applyFill="1" applyBorder="1" applyAlignment="1" applyProtection="1">
      <protection hidden="1"/>
    </xf>
    <xf numFmtId="0" fontId="12" fillId="3" borderId="4" xfId="0" applyFont="1" applyFill="1" applyBorder="1" applyProtection="1">
      <protection hidden="1"/>
    </xf>
    <xf numFmtId="0" fontId="9" fillId="6" borderId="1" xfId="0" applyFont="1" applyFill="1" applyBorder="1" applyAlignment="1" applyProtection="1">
      <alignment horizontal="center" vertical="center" wrapText="1"/>
      <protection hidden="1"/>
    </xf>
    <xf numFmtId="0" fontId="31" fillId="7" borderId="1" xfId="0" applyFont="1" applyFill="1" applyBorder="1" applyAlignment="1" applyProtection="1">
      <alignment vertical="center" wrapText="1"/>
      <protection hidden="1"/>
    </xf>
    <xf numFmtId="0" fontId="40" fillId="6" borderId="1" xfId="2" applyFont="1" applyFill="1" applyBorder="1" applyAlignment="1" applyProtection="1">
      <alignment horizontal="center" vertical="center"/>
      <protection hidden="1"/>
    </xf>
    <xf numFmtId="0" fontId="44" fillId="3" borderId="4" xfId="0" applyFont="1" applyFill="1" applyBorder="1" applyAlignment="1" applyProtection="1">
      <alignment horizontal="center" vertical="center"/>
      <protection hidden="1"/>
    </xf>
    <xf numFmtId="169" fontId="44" fillId="3" borderId="4" xfId="0" quotePrefix="1" applyNumberFormat="1" applyFont="1" applyFill="1" applyBorder="1" applyAlignment="1" applyProtection="1">
      <alignment horizontal="center" vertical="center"/>
      <protection hidden="1"/>
    </xf>
    <xf numFmtId="15" fontId="0" fillId="3" borderId="4" xfId="0" applyNumberFormat="1" applyFill="1" applyBorder="1" applyAlignment="1" applyProtection="1">
      <alignment horizontal="center" vertical="center"/>
      <protection hidden="1"/>
    </xf>
    <xf numFmtId="0" fontId="44" fillId="3" borderId="4" xfId="0" applyFont="1" applyFill="1" applyBorder="1" applyAlignment="1" applyProtection="1">
      <alignment horizontal="center"/>
      <protection hidden="1"/>
    </xf>
    <xf numFmtId="15" fontId="44" fillId="3" borderId="4" xfId="0" applyNumberFormat="1" applyFont="1" applyFill="1" applyBorder="1" applyAlignment="1" applyProtection="1">
      <alignment horizontal="center"/>
      <protection hidden="1"/>
    </xf>
    <xf numFmtId="0" fontId="44" fillId="3" borderId="5" xfId="0" applyFont="1" applyFill="1" applyBorder="1" applyAlignment="1" applyProtection="1">
      <alignment horizontal="center"/>
      <protection hidden="1"/>
    </xf>
    <xf numFmtId="15" fontId="44" fillId="3" borderId="5" xfId="0" applyNumberFormat="1" applyFont="1" applyFill="1" applyBorder="1" applyAlignment="1" applyProtection="1">
      <alignment horizontal="center"/>
      <protection hidden="1"/>
    </xf>
    <xf numFmtId="0" fontId="0" fillId="8" borderId="10" xfId="0" applyFill="1" applyBorder="1" applyAlignment="1" applyProtection="1">
      <alignment horizontal="left" vertical="top" wrapText="1"/>
      <protection hidden="1"/>
    </xf>
    <xf numFmtId="0" fontId="0" fillId="8" borderId="11" xfId="0" applyFill="1" applyBorder="1" applyAlignment="1" applyProtection="1">
      <alignment horizontal="left" vertical="top" wrapText="1"/>
      <protection hidden="1"/>
    </xf>
    <xf numFmtId="0" fontId="0" fillId="8" borderId="12" xfId="0" applyFill="1" applyBorder="1" applyAlignment="1" applyProtection="1">
      <alignment horizontal="left" vertical="top" wrapText="1"/>
      <protection hidden="1"/>
    </xf>
    <xf numFmtId="0" fontId="37" fillId="11" borderId="10" xfId="0" applyFont="1" applyFill="1" applyBorder="1" applyAlignment="1" applyProtection="1">
      <alignment horizontal="center" vertical="center"/>
      <protection hidden="1"/>
    </xf>
    <xf numFmtId="0" fontId="37" fillId="11" borderId="11" xfId="0" applyFont="1" applyFill="1" applyBorder="1" applyAlignment="1" applyProtection="1">
      <alignment horizontal="center" vertical="center"/>
      <protection hidden="1"/>
    </xf>
    <xf numFmtId="0" fontId="37" fillId="11" borderId="12" xfId="0" applyFont="1" applyFill="1" applyBorder="1" applyAlignment="1" applyProtection="1">
      <alignment horizontal="center" vertical="center"/>
      <protection hidden="1"/>
    </xf>
    <xf numFmtId="0" fontId="37" fillId="12" borderId="10" xfId="0" applyFont="1" applyFill="1" applyBorder="1" applyAlignment="1" applyProtection="1">
      <alignment horizontal="center" vertical="center"/>
      <protection hidden="1"/>
    </xf>
    <xf numFmtId="0" fontId="0" fillId="12" borderId="11" xfId="0" applyFill="1" applyBorder="1" applyAlignment="1" applyProtection="1">
      <alignment horizontal="center" vertical="center"/>
      <protection hidden="1"/>
    </xf>
    <xf numFmtId="0" fontId="0" fillId="12" borderId="12" xfId="0" applyFill="1" applyBorder="1" applyAlignment="1" applyProtection="1">
      <alignment horizontal="center" vertical="center"/>
      <protection hidden="1"/>
    </xf>
    <xf numFmtId="0" fontId="37" fillId="9" borderId="10" xfId="0" applyFont="1" applyFill="1" applyBorder="1" applyAlignment="1" applyProtection="1">
      <alignment horizontal="center" vertical="center"/>
      <protection hidden="1"/>
    </xf>
    <xf numFmtId="0" fontId="37" fillId="9" borderId="11" xfId="0" applyFont="1" applyFill="1" applyBorder="1" applyAlignment="1" applyProtection="1">
      <alignment horizontal="center" vertical="center"/>
      <protection hidden="1"/>
    </xf>
    <xf numFmtId="0" fontId="37" fillId="9" borderId="12" xfId="0" applyFont="1" applyFill="1" applyBorder="1" applyAlignment="1" applyProtection="1">
      <alignment horizontal="center" vertical="center"/>
      <protection hidden="1"/>
    </xf>
    <xf numFmtId="0" fontId="37" fillId="13" borderId="10" xfId="0" applyFont="1" applyFill="1" applyBorder="1" applyAlignment="1" applyProtection="1">
      <alignment horizontal="center"/>
      <protection hidden="1"/>
    </xf>
    <xf numFmtId="0" fontId="37" fillId="13" borderId="11" xfId="0" applyFont="1" applyFill="1" applyBorder="1" applyAlignment="1" applyProtection="1">
      <alignment horizontal="center"/>
      <protection hidden="1"/>
    </xf>
    <xf numFmtId="0" fontId="37" fillId="13" borderId="12" xfId="0" applyFont="1" applyFill="1" applyBorder="1" applyAlignment="1" applyProtection="1">
      <alignment horizontal="center"/>
      <protection hidden="1"/>
    </xf>
    <xf numFmtId="0" fontId="0" fillId="6" borderId="14" xfId="0" applyFill="1" applyBorder="1" applyAlignment="1" applyProtection="1">
      <alignment horizontal="center" vertical="center"/>
      <protection hidden="1"/>
    </xf>
    <xf numFmtId="0" fontId="0" fillId="6" borderId="13" xfId="0" applyFill="1" applyBorder="1" applyAlignment="1" applyProtection="1">
      <alignment horizontal="center" vertical="center"/>
      <protection hidden="1"/>
    </xf>
    <xf numFmtId="0" fontId="0" fillId="6" borderId="2" xfId="0" applyFill="1" applyBorder="1" applyAlignment="1" applyProtection="1">
      <alignment horizontal="center" vertical="center"/>
      <protection hidden="1"/>
    </xf>
    <xf numFmtId="0" fontId="0" fillId="6" borderId="3" xfId="0" applyFill="1" applyBorder="1" applyAlignment="1" applyProtection="1">
      <alignment horizontal="center" vertical="center"/>
      <protection hidden="1"/>
    </xf>
    <xf numFmtId="0" fontId="0" fillId="6" borderId="4" xfId="0" applyFill="1" applyBorder="1" applyAlignment="1" applyProtection="1">
      <alignment horizontal="center" vertical="center"/>
      <protection hidden="1"/>
    </xf>
    <xf numFmtId="0" fontId="0" fillId="6" borderId="5" xfId="0" applyFill="1" applyBorder="1" applyAlignment="1" applyProtection="1">
      <alignment horizontal="center" vertical="center"/>
      <protection hidden="1"/>
    </xf>
    <xf numFmtId="0" fontId="0" fillId="6" borderId="3" xfId="0" applyFill="1" applyBorder="1" applyAlignment="1" applyProtection="1">
      <alignment horizontal="center"/>
      <protection hidden="1"/>
    </xf>
    <xf numFmtId="0" fontId="0" fillId="6" borderId="4" xfId="0" applyFill="1" applyBorder="1" applyAlignment="1" applyProtection="1">
      <alignment horizontal="center"/>
      <protection hidden="1"/>
    </xf>
    <xf numFmtId="0" fontId="0" fillId="6" borderId="5" xfId="0" applyFill="1" applyBorder="1" applyAlignment="1" applyProtection="1">
      <alignment horizontal="center"/>
      <protection hidden="1"/>
    </xf>
    <xf numFmtId="0" fontId="0" fillId="9" borderId="0" xfId="0" applyFill="1" applyAlignment="1" applyProtection="1">
      <alignment horizontal="left" vertical="top" wrapText="1"/>
      <protection hidden="1"/>
    </xf>
    <xf numFmtId="0" fontId="0" fillId="9" borderId="14" xfId="0" applyFill="1" applyBorder="1" applyAlignment="1" applyProtection="1">
      <alignment horizontal="center" wrapText="1"/>
      <protection hidden="1"/>
    </xf>
    <xf numFmtId="0" fontId="0" fillId="9" borderId="15" xfId="0" applyFill="1" applyBorder="1" applyAlignment="1" applyProtection="1">
      <alignment horizontal="center" wrapText="1"/>
      <protection hidden="1"/>
    </xf>
    <xf numFmtId="0" fontId="0" fillId="9" borderId="16" xfId="0" applyFill="1" applyBorder="1" applyAlignment="1" applyProtection="1">
      <alignment horizontal="center" wrapText="1"/>
      <protection hidden="1"/>
    </xf>
    <xf numFmtId="0" fontId="0" fillId="9" borderId="2" xfId="0" applyFill="1" applyBorder="1" applyAlignment="1" applyProtection="1">
      <alignment horizontal="center" wrapText="1"/>
      <protection hidden="1"/>
    </xf>
    <xf numFmtId="0" fontId="0" fillId="9" borderId="18" xfId="0" applyFill="1" applyBorder="1" applyAlignment="1" applyProtection="1">
      <alignment horizontal="center" wrapText="1"/>
      <protection hidden="1"/>
    </xf>
    <xf numFmtId="0" fontId="0" fillId="9" borderId="19" xfId="0" applyFill="1" applyBorder="1" applyAlignment="1" applyProtection="1">
      <alignment horizontal="center" wrapText="1"/>
      <protection hidden="1"/>
    </xf>
    <xf numFmtId="0" fontId="10" fillId="3" borderId="18" xfId="0" applyFont="1" applyFill="1" applyBorder="1" applyAlignment="1" applyProtection="1">
      <alignment horizontal="center"/>
      <protection hidden="1"/>
    </xf>
    <xf numFmtId="9" fontId="0" fillId="3" borderId="0" xfId="0" applyNumberFormat="1" applyFill="1" applyAlignment="1" applyProtection="1">
      <alignment horizontal="center" vertical="center"/>
      <protection hidden="1"/>
    </xf>
    <xf numFmtId="0" fontId="0" fillId="14" borderId="2" xfId="0" applyFill="1" applyBorder="1" applyAlignment="1" applyProtection="1">
      <alignment horizontal="center" vertical="center"/>
      <protection hidden="1"/>
    </xf>
    <xf numFmtId="0" fontId="0" fillId="14" borderId="19" xfId="0" applyFill="1" applyBorder="1" applyAlignment="1" applyProtection="1">
      <alignment horizontal="center" vertical="center"/>
      <protection hidden="1"/>
    </xf>
    <xf numFmtId="187" fontId="0" fillId="14" borderId="14" xfId="0" applyNumberFormat="1" applyFill="1" applyBorder="1" applyAlignment="1" applyProtection="1">
      <alignment horizontal="center"/>
      <protection hidden="1"/>
    </xf>
    <xf numFmtId="187" fontId="0" fillId="14" borderId="16" xfId="0" applyNumberFormat="1" applyFill="1" applyBorder="1" applyAlignment="1" applyProtection="1">
      <alignment horizontal="center"/>
      <protection hidden="1"/>
    </xf>
    <xf numFmtId="181" fontId="0" fillId="14" borderId="14" xfId="0" applyNumberFormat="1" applyFill="1" applyBorder="1" applyAlignment="1" applyProtection="1">
      <alignment horizontal="center"/>
      <protection hidden="1"/>
    </xf>
    <xf numFmtId="181" fontId="0" fillId="14" borderId="16" xfId="0" applyNumberFormat="1" applyFill="1" applyBorder="1" applyAlignment="1" applyProtection="1">
      <alignment horizontal="center"/>
      <protection hidden="1"/>
    </xf>
    <xf numFmtId="0" fontId="10" fillId="3" borderId="10" xfId="0" applyFont="1" applyFill="1" applyBorder="1" applyAlignment="1" applyProtection="1">
      <alignment horizontal="center"/>
      <protection hidden="1"/>
    </xf>
    <xf numFmtId="0" fontId="10" fillId="3" borderId="12" xfId="0" applyFont="1" applyFill="1" applyBorder="1" applyAlignment="1" applyProtection="1">
      <alignment horizontal="center"/>
      <protection hidden="1"/>
    </xf>
    <xf numFmtId="0" fontId="10" fillId="3" borderId="11" xfId="0" applyFont="1" applyFill="1" applyBorder="1" applyAlignment="1" applyProtection="1">
      <alignment horizontal="center"/>
      <protection hidden="1"/>
    </xf>
    <xf numFmtId="181" fontId="0" fillId="14" borderId="3" xfId="0" applyNumberFormat="1" applyFill="1" applyBorder="1" applyAlignment="1" applyProtection="1">
      <alignment horizontal="center"/>
      <protection hidden="1"/>
    </xf>
    <xf numFmtId="0" fontId="0" fillId="14" borderId="5" xfId="0" applyFill="1" applyBorder="1" applyAlignment="1" applyProtection="1">
      <alignment horizontal="center" vertical="center"/>
      <protection hidden="1"/>
    </xf>
    <xf numFmtId="0" fontId="10" fillId="4" borderId="10" xfId="0" applyFont="1" applyFill="1" applyBorder="1" applyAlignment="1" applyProtection="1">
      <alignment horizontal="center"/>
      <protection hidden="1"/>
    </xf>
    <xf numFmtId="0" fontId="10" fillId="4" borderId="12" xfId="0" applyFont="1" applyFill="1" applyBorder="1" applyAlignment="1" applyProtection="1">
      <alignment horizontal="center"/>
      <protection hidden="1"/>
    </xf>
    <xf numFmtId="0" fontId="12" fillId="5" borderId="3" xfId="0" applyFont="1" applyFill="1" applyBorder="1" applyAlignment="1" applyProtection="1">
      <alignment horizontal="center" vertical="top" wrapText="1"/>
      <protection hidden="1"/>
    </xf>
    <xf numFmtId="0" fontId="12" fillId="5" borderId="5" xfId="0" applyFont="1" applyFill="1" applyBorder="1" applyAlignment="1" applyProtection="1">
      <alignment horizontal="center" vertical="top" wrapText="1"/>
      <protection hidden="1"/>
    </xf>
    <xf numFmtId="0" fontId="12" fillId="5" borderId="3" xfId="0" applyFont="1" applyFill="1" applyBorder="1" applyAlignment="1" applyProtection="1">
      <alignment horizontal="center" vertical="top"/>
      <protection hidden="1"/>
    </xf>
    <xf numFmtId="0" fontId="12" fillId="5" borderId="5" xfId="0" applyFont="1" applyFill="1" applyBorder="1" applyAlignment="1" applyProtection="1">
      <alignment horizontal="center" vertical="top"/>
      <protection hidden="1"/>
    </xf>
    <xf numFmtId="0" fontId="12" fillId="7" borderId="23" xfId="0" applyFont="1" applyFill="1" applyBorder="1" applyAlignment="1" applyProtection="1">
      <alignment horizontal="left" vertical="top" wrapText="1"/>
      <protection hidden="1"/>
    </xf>
    <xf numFmtId="0" fontId="12" fillId="7" borderId="0" xfId="0" applyFont="1" applyFill="1" applyAlignment="1" applyProtection="1">
      <alignment horizontal="left" vertical="top" wrapText="1"/>
      <protection hidden="1"/>
    </xf>
    <xf numFmtId="0" fontId="12" fillId="7" borderId="24" xfId="0" applyFont="1" applyFill="1" applyBorder="1" applyAlignment="1" applyProtection="1">
      <alignment horizontal="left" vertical="top" wrapText="1"/>
      <protection hidden="1"/>
    </xf>
    <xf numFmtId="0" fontId="12" fillId="7" borderId="25" xfId="0" applyFont="1" applyFill="1" applyBorder="1" applyAlignment="1" applyProtection="1">
      <alignment horizontal="left" vertical="top" wrapText="1"/>
      <protection hidden="1"/>
    </xf>
    <xf numFmtId="0" fontId="12" fillId="7" borderId="26" xfId="0" applyFont="1" applyFill="1" applyBorder="1" applyAlignment="1" applyProtection="1">
      <alignment horizontal="left" vertical="top" wrapText="1"/>
      <protection hidden="1"/>
    </xf>
    <xf numFmtId="0" fontId="12" fillId="7" borderId="27" xfId="0" applyFont="1" applyFill="1" applyBorder="1" applyAlignment="1" applyProtection="1">
      <alignment horizontal="left" vertical="top" wrapText="1"/>
      <protection hidden="1"/>
    </xf>
    <xf numFmtId="0" fontId="12" fillId="4" borderId="10" xfId="0" applyFont="1" applyFill="1" applyBorder="1" applyAlignment="1" applyProtection="1">
      <alignment horizontal="center"/>
      <protection hidden="1"/>
    </xf>
    <xf numFmtId="0" fontId="12" fillId="4" borderId="12" xfId="0" applyFont="1" applyFill="1" applyBorder="1" applyAlignment="1" applyProtection="1">
      <alignment horizontal="center"/>
      <protection hidden="1"/>
    </xf>
    <xf numFmtId="0" fontId="12" fillId="7" borderId="20" xfId="0" applyFont="1" applyFill="1" applyBorder="1" applyAlignment="1" applyProtection="1">
      <alignment horizontal="left" vertical="top" wrapText="1"/>
      <protection hidden="1"/>
    </xf>
    <xf numFmtId="0" fontId="12" fillId="7" borderId="21" xfId="0" applyFont="1" applyFill="1" applyBorder="1" applyAlignment="1" applyProtection="1">
      <alignment horizontal="left" vertical="top" wrapText="1"/>
      <protection hidden="1"/>
    </xf>
    <xf numFmtId="0" fontId="12" fillId="7" borderId="22" xfId="0" applyFont="1" applyFill="1" applyBorder="1" applyAlignment="1" applyProtection="1">
      <alignment horizontal="left" vertical="top" wrapText="1"/>
      <protection hidden="1"/>
    </xf>
    <xf numFmtId="9" fontId="12" fillId="4" borderId="10" xfId="4" applyFont="1" applyFill="1" applyBorder="1" applyAlignment="1" applyProtection="1">
      <alignment horizontal="center"/>
      <protection hidden="1"/>
    </xf>
    <xf numFmtId="9" fontId="12" fillId="4" borderId="12" xfId="4" applyFont="1" applyFill="1" applyBorder="1" applyAlignment="1" applyProtection="1">
      <alignment horizontal="center"/>
      <protection hidden="1"/>
    </xf>
    <xf numFmtId="169" fontId="12" fillId="4" borderId="10" xfId="0" applyNumberFormat="1" applyFont="1" applyFill="1" applyBorder="1" applyAlignment="1" applyProtection="1">
      <alignment horizontal="center"/>
      <protection hidden="1"/>
    </xf>
    <xf numFmtId="169" fontId="12" fillId="4" borderId="12" xfId="0" applyNumberFormat="1" applyFont="1" applyFill="1" applyBorder="1" applyAlignment="1" applyProtection="1">
      <alignment horizontal="center"/>
      <protection hidden="1"/>
    </xf>
    <xf numFmtId="166" fontId="12" fillId="4" borderId="10" xfId="4" applyNumberFormat="1" applyFont="1" applyFill="1" applyBorder="1" applyAlignment="1" applyProtection="1">
      <alignment horizontal="center"/>
      <protection hidden="1"/>
    </xf>
    <xf numFmtId="166" fontId="12" fillId="4" borderId="12" xfId="4" applyNumberFormat="1" applyFont="1" applyFill="1" applyBorder="1" applyAlignment="1" applyProtection="1">
      <alignment horizontal="center"/>
      <protection hidden="1"/>
    </xf>
    <xf numFmtId="15" fontId="12" fillId="4" borderId="10" xfId="0" applyNumberFormat="1" applyFont="1" applyFill="1" applyBorder="1" applyAlignment="1" applyProtection="1">
      <alignment horizontal="center"/>
      <protection hidden="1"/>
    </xf>
    <xf numFmtId="15" fontId="12" fillId="4" borderId="12" xfId="0" applyNumberFormat="1" applyFont="1" applyFill="1" applyBorder="1" applyAlignment="1" applyProtection="1">
      <alignment horizontal="center"/>
      <protection hidden="1"/>
    </xf>
    <xf numFmtId="1" fontId="12" fillId="4" borderId="10" xfId="0" applyNumberFormat="1" applyFont="1" applyFill="1" applyBorder="1" applyAlignment="1" applyProtection="1">
      <alignment horizontal="center"/>
      <protection hidden="1"/>
    </xf>
    <xf numFmtId="1" fontId="12" fillId="4" borderId="12" xfId="0" applyNumberFormat="1" applyFont="1" applyFill="1" applyBorder="1" applyAlignment="1" applyProtection="1">
      <alignment horizontal="center"/>
      <protection hidden="1"/>
    </xf>
    <xf numFmtId="0" fontId="38" fillId="4" borderId="0" xfId="0" applyFont="1" applyFill="1" applyAlignment="1" applyProtection="1">
      <alignment horizontal="center" wrapText="1"/>
      <protection hidden="1"/>
    </xf>
    <xf numFmtId="0" fontId="0" fillId="4" borderId="3" xfId="0" applyFill="1" applyBorder="1" applyAlignment="1" applyProtection="1">
      <alignment horizontal="center" vertical="center" wrapText="1"/>
      <protection hidden="1"/>
    </xf>
    <xf numFmtId="0" fontId="0" fillId="4" borderId="4" xfId="0" applyFill="1" applyBorder="1" applyAlignment="1" applyProtection="1">
      <alignment horizontal="center" vertical="center" wrapText="1"/>
      <protection hidden="1"/>
    </xf>
    <xf numFmtId="0" fontId="0" fillId="4" borderId="5" xfId="0" applyFill="1" applyBorder="1" applyAlignment="1" applyProtection="1">
      <alignment horizontal="center" vertical="center" wrapText="1"/>
      <protection hidden="1"/>
    </xf>
    <xf numFmtId="0" fontId="0" fillId="4" borderId="3" xfId="0" applyFill="1" applyBorder="1" applyAlignment="1" applyProtection="1">
      <alignment horizontal="center" wrapText="1"/>
      <protection hidden="1"/>
    </xf>
    <xf numFmtId="0" fontId="0" fillId="4" borderId="4" xfId="0" applyFill="1" applyBorder="1" applyAlignment="1" applyProtection="1">
      <alignment horizontal="center" wrapText="1"/>
      <protection hidden="1"/>
    </xf>
    <xf numFmtId="0" fontId="0" fillId="4" borderId="5" xfId="0" applyFill="1" applyBorder="1" applyAlignment="1" applyProtection="1">
      <alignment horizontal="center" wrapText="1"/>
      <protection hidden="1"/>
    </xf>
    <xf numFmtId="0" fontId="0" fillId="16" borderId="14" xfId="0" applyFill="1" applyBorder="1" applyAlignment="1" applyProtection="1">
      <alignment horizontal="center" wrapText="1"/>
      <protection hidden="1"/>
    </xf>
    <xf numFmtId="0" fontId="0" fillId="16" borderId="15" xfId="0" applyFill="1" applyBorder="1" applyAlignment="1" applyProtection="1">
      <alignment horizontal="center" wrapText="1"/>
      <protection hidden="1"/>
    </xf>
    <xf numFmtId="0" fontId="0" fillId="4" borderId="10" xfId="0" applyFill="1" applyBorder="1" applyAlignment="1" applyProtection="1">
      <alignment horizontal="center"/>
      <protection hidden="1"/>
    </xf>
    <xf numFmtId="0" fontId="0" fillId="4" borderId="11" xfId="0" applyFill="1" applyBorder="1" applyAlignment="1" applyProtection="1">
      <alignment horizontal="center"/>
      <protection hidden="1"/>
    </xf>
    <xf numFmtId="0" fontId="0" fillId="4" borderId="12" xfId="0" applyFill="1" applyBorder="1" applyAlignment="1" applyProtection="1">
      <alignment horizontal="center"/>
      <protection hidden="1"/>
    </xf>
    <xf numFmtId="0" fontId="0" fillId="4" borderId="1" xfId="0" applyFill="1" applyBorder="1" applyAlignment="1" applyProtection="1">
      <alignment horizontal="center"/>
      <protection hidden="1"/>
    </xf>
    <xf numFmtId="0" fontId="0" fillId="4" borderId="3" xfId="0" applyFill="1" applyBorder="1" applyAlignment="1" applyProtection="1">
      <alignment horizontal="center" vertical="top" wrapText="1"/>
      <protection hidden="1"/>
    </xf>
    <xf numFmtId="0" fontId="0" fillId="4" borderId="4" xfId="0" applyFill="1" applyBorder="1" applyAlignment="1" applyProtection="1">
      <alignment horizontal="center" vertical="top" wrapText="1"/>
      <protection hidden="1"/>
    </xf>
    <xf numFmtId="0" fontId="0" fillId="4" borderId="5" xfId="0" applyFill="1" applyBorder="1" applyAlignment="1" applyProtection="1">
      <alignment horizontal="center" vertical="top" wrapText="1"/>
      <protection hidden="1"/>
    </xf>
    <xf numFmtId="0" fontId="0" fillId="16" borderId="14" xfId="0" applyFill="1" applyBorder="1" applyAlignment="1" applyProtection="1">
      <alignment horizontal="left" wrapText="1"/>
      <protection hidden="1"/>
    </xf>
    <xf numFmtId="0" fontId="0" fillId="16" borderId="15" xfId="0" applyFill="1" applyBorder="1" applyAlignment="1" applyProtection="1">
      <alignment horizontal="left" wrapText="1"/>
      <protection hidden="1"/>
    </xf>
    <xf numFmtId="0" fontId="0" fillId="16" borderId="16" xfId="0" applyFill="1" applyBorder="1" applyAlignment="1" applyProtection="1">
      <alignment horizontal="left" wrapText="1"/>
      <protection hidden="1"/>
    </xf>
    <xf numFmtId="0" fontId="0" fillId="16" borderId="2" xfId="0" applyFill="1" applyBorder="1" applyAlignment="1" applyProtection="1">
      <alignment horizontal="left" wrapText="1"/>
      <protection hidden="1"/>
    </xf>
    <xf numFmtId="0" fontId="0" fillId="16" borderId="18" xfId="0" applyFill="1" applyBorder="1" applyAlignment="1" applyProtection="1">
      <alignment horizontal="left" wrapText="1"/>
      <protection hidden="1"/>
    </xf>
    <xf numFmtId="0" fontId="0" fillId="16" borderId="19" xfId="0" applyFill="1" applyBorder="1" applyAlignment="1" applyProtection="1">
      <alignment horizontal="left" wrapText="1"/>
      <protection hidden="1"/>
    </xf>
    <xf numFmtId="0" fontId="0" fillId="3" borderId="3" xfId="0" applyFill="1" applyBorder="1" applyAlignment="1" applyProtection="1">
      <alignment horizontal="center" wrapText="1"/>
      <protection hidden="1"/>
    </xf>
    <xf numFmtId="0" fontId="0" fillId="3" borderId="4" xfId="0" applyFill="1" applyBorder="1" applyAlignment="1" applyProtection="1">
      <alignment horizontal="center" wrapText="1"/>
      <protection hidden="1"/>
    </xf>
    <xf numFmtId="0" fontId="0" fillId="3" borderId="5" xfId="0" applyFill="1" applyBorder="1" applyAlignment="1" applyProtection="1">
      <alignment horizontal="center" wrapText="1"/>
      <protection hidden="1"/>
    </xf>
    <xf numFmtId="0" fontId="0" fillId="3" borderId="3" xfId="0" applyFill="1" applyBorder="1" applyAlignment="1" applyProtection="1">
      <alignment horizontal="center" vertical="top" wrapText="1"/>
      <protection hidden="1"/>
    </xf>
    <xf numFmtId="0" fontId="0" fillId="3" borderId="4" xfId="0" applyFill="1" applyBorder="1" applyAlignment="1" applyProtection="1">
      <alignment horizontal="center" vertical="top" wrapText="1"/>
      <protection hidden="1"/>
    </xf>
    <xf numFmtId="0" fontId="0" fillId="3" borderId="5" xfId="0" applyFill="1" applyBorder="1" applyAlignment="1" applyProtection="1">
      <alignment horizontal="center" vertical="top" wrapText="1"/>
      <protection hidden="1"/>
    </xf>
    <xf numFmtId="9" fontId="5" fillId="2" borderId="1" xfId="3" applyNumberFormat="1">
      <alignment horizontal="center"/>
      <protection locked="0"/>
    </xf>
    <xf numFmtId="0" fontId="5" fillId="2" borderId="1" xfId="3">
      <alignment horizontal="center"/>
      <protection locked="0"/>
    </xf>
    <xf numFmtId="169" fontId="0" fillId="4" borderId="10" xfId="0" applyNumberFormat="1" applyFill="1" applyBorder="1" applyAlignment="1" applyProtection="1">
      <alignment horizontal="center"/>
      <protection hidden="1"/>
    </xf>
    <xf numFmtId="169" fontId="0" fillId="4" borderId="12" xfId="0" applyNumberFormat="1" applyFill="1" applyBorder="1" applyAlignment="1" applyProtection="1">
      <alignment horizontal="center"/>
      <protection hidden="1"/>
    </xf>
    <xf numFmtId="169" fontId="5" fillId="2" borderId="1" xfId="3" applyNumberFormat="1">
      <alignment horizontal="center"/>
      <protection locked="0"/>
    </xf>
    <xf numFmtId="0" fontId="0" fillId="3" borderId="0" xfId="0" applyFill="1" applyAlignment="1" applyProtection="1">
      <alignment horizontal="left" wrapText="1"/>
      <protection hidden="1"/>
    </xf>
    <xf numFmtId="0" fontId="0" fillId="3" borderId="0" xfId="0" applyFill="1" applyAlignment="1" applyProtection="1">
      <alignment horizontal="center"/>
      <protection hidden="1"/>
    </xf>
    <xf numFmtId="0" fontId="0" fillId="3" borderId="10" xfId="0" applyFill="1" applyBorder="1" applyAlignment="1" applyProtection="1">
      <alignment horizontal="center"/>
      <protection hidden="1"/>
    </xf>
    <xf numFmtId="0" fontId="0" fillId="3" borderId="11" xfId="0" applyFill="1" applyBorder="1" applyAlignment="1" applyProtection="1">
      <alignment horizontal="center"/>
      <protection hidden="1"/>
    </xf>
    <xf numFmtId="0" fontId="0" fillId="3" borderId="12" xfId="0" applyFill="1" applyBorder="1" applyAlignment="1" applyProtection="1">
      <alignment horizontal="center"/>
      <protection hidden="1"/>
    </xf>
    <xf numFmtId="0" fontId="0" fillId="3" borderId="14" xfId="0" applyFill="1" applyBorder="1" applyAlignment="1" applyProtection="1">
      <alignment horizontal="center"/>
      <protection hidden="1"/>
    </xf>
    <xf numFmtId="0" fontId="0" fillId="3" borderId="15" xfId="0" applyFill="1" applyBorder="1" applyAlignment="1" applyProtection="1">
      <alignment horizontal="center"/>
      <protection hidden="1"/>
    </xf>
    <xf numFmtId="0" fontId="0" fillId="3" borderId="16" xfId="0" applyFill="1" applyBorder="1" applyAlignment="1" applyProtection="1">
      <alignment horizontal="center"/>
      <protection hidden="1"/>
    </xf>
  </cellXfs>
  <cellStyles count="10">
    <cellStyle name="Comma" xfId="1" builtinId="3"/>
    <cellStyle name="Currency 2" xfId="6" xr:uid="{00000000-0005-0000-0000-000001000000}"/>
    <cellStyle name="Hyperlink" xfId="2" builtinId="8"/>
    <cellStyle name="inputns" xfId="3" xr:uid="{00000000-0005-0000-0000-000003000000}"/>
    <cellStyle name="Normal" xfId="0" builtinId="0"/>
    <cellStyle name="Normal 2" xfId="9" xr:uid="{00000000-0005-0000-0000-000005000000}"/>
    <cellStyle name="Normal 4" xfId="7" xr:uid="{00000000-0005-0000-0000-000006000000}"/>
    <cellStyle name="Percent" xfId="4" builtinId="5"/>
    <cellStyle name="Percent 3" xfId="8" xr:uid="{00000000-0005-0000-0000-000008000000}"/>
    <cellStyle name="protected" xfId="5" xr:uid="{00000000-0005-0000-0000-000009000000}"/>
  </cellStyles>
  <dxfs count="86">
    <dxf>
      <font>
        <color theme="2"/>
      </font>
    </dxf>
    <dxf>
      <font>
        <color theme="2"/>
      </font>
    </dxf>
    <dxf>
      <fill>
        <patternFill>
          <bgColor theme="9" tint="0.59996337778862885"/>
        </patternFill>
      </fill>
    </dxf>
    <dxf>
      <fill>
        <patternFill>
          <bgColor theme="9" tint="0.59996337778862885"/>
        </patternFill>
      </fill>
    </dxf>
    <dxf>
      <fill>
        <patternFill>
          <bgColor theme="9" tint="0.59996337778862885"/>
        </patternFill>
      </fill>
    </dxf>
    <dxf>
      <font>
        <color theme="2"/>
      </font>
      <fill>
        <patternFill>
          <bgColor theme="2"/>
        </patternFill>
      </fill>
    </dxf>
    <dxf>
      <font>
        <color theme="2"/>
      </font>
      <fill>
        <patternFill>
          <bgColor theme="2"/>
        </patternFill>
      </fill>
    </dxf>
    <dxf>
      <font>
        <color rgb="FFEEECE1"/>
      </font>
      <fill>
        <patternFill>
          <bgColor theme="2"/>
        </patternFill>
      </fill>
    </dxf>
    <dxf>
      <font>
        <color rgb="FFEEECE1"/>
      </font>
      <fill>
        <patternFill>
          <bgColor rgb="FFEEECE1"/>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theme="2"/>
      </font>
      <fill>
        <patternFill>
          <bgColor theme="2"/>
        </patternFill>
      </fill>
    </dxf>
    <dxf>
      <font>
        <color rgb="FFEEECE1"/>
      </font>
      <fill>
        <patternFill>
          <bgColor theme="2"/>
        </patternFill>
      </fill>
    </dxf>
    <dxf>
      <font>
        <color theme="2"/>
      </font>
      <fill>
        <patternFill>
          <bgColor theme="2"/>
        </patternFill>
      </fill>
    </dxf>
    <dxf>
      <font>
        <color rgb="FFEEECE1"/>
      </font>
      <fill>
        <patternFill>
          <bgColor rgb="FFEEECE1"/>
        </patternFill>
      </fill>
    </dxf>
    <dxf>
      <font>
        <color theme="2"/>
      </font>
      <fill>
        <patternFill>
          <bgColor theme="2"/>
        </patternFill>
      </fill>
    </dxf>
    <dxf>
      <font>
        <color rgb="FFEEECE1"/>
      </font>
      <fill>
        <patternFill>
          <bgColor rgb="FFEEECE1"/>
        </patternFill>
      </fill>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style="thin">
          <color auto="1"/>
        </top>
        <bottom/>
        <vertical/>
        <horizontal/>
      </border>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style="thin">
          <color auto="1"/>
        </top>
        <bottom/>
        <vertical/>
        <horizontal/>
      </border>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ndense val="0"/>
        <extend val="0"/>
        <color rgb="FF9C6500"/>
      </font>
      <fill>
        <patternFill>
          <bgColor rgb="FFFFEB9C"/>
        </patternFill>
      </fill>
    </dxf>
    <dxf>
      <font>
        <condense val="0"/>
        <extend val="0"/>
        <color rgb="FF006100"/>
      </font>
      <fill>
        <patternFill>
          <bgColor rgb="FFC6EFCE"/>
        </patternFill>
      </fill>
    </dxf>
    <dxf>
      <font>
        <color theme="4"/>
      </font>
      <fill>
        <patternFill>
          <bgColor theme="3" tint="0.79998168889431442"/>
        </patternFill>
      </fill>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style="thin">
          <color auto="1"/>
        </left>
        <right style="thin">
          <color auto="1"/>
        </right>
        <top style="thin">
          <color auto="1"/>
        </top>
        <bottom style="thin">
          <color auto="1"/>
        </bottom>
        <vertical/>
        <horizontal/>
      </border>
    </dxf>
    <dxf>
      <fill>
        <patternFill>
          <bgColor theme="2"/>
        </patternFill>
      </fill>
      <border>
        <left/>
        <right/>
        <top style="thin">
          <color auto="1"/>
        </top>
        <bottom/>
      </border>
    </dxf>
    <dxf>
      <font>
        <condense val="0"/>
        <extend val="0"/>
        <color rgb="FF9C6500"/>
      </font>
      <fill>
        <patternFill>
          <bgColor rgb="FFFFEB9C"/>
        </patternFill>
      </fill>
    </dxf>
    <dxf>
      <font>
        <condense val="0"/>
        <extend val="0"/>
        <color rgb="FF9C6500"/>
      </font>
      <fill>
        <patternFill>
          <bgColor rgb="FFFFEB9C"/>
        </patternFill>
      </fill>
    </dxf>
    <dxf>
      <font>
        <condense val="0"/>
        <extend val="0"/>
        <color rgb="FF006100"/>
      </font>
      <fill>
        <patternFill>
          <bgColor rgb="FFC6EFCE"/>
        </patternFill>
      </fill>
    </dxf>
    <dxf>
      <fill>
        <patternFill>
          <bgColor rgb="FF92D050"/>
        </patternFill>
      </fill>
    </dxf>
    <dxf>
      <font>
        <color theme="2"/>
      </font>
      <fill>
        <patternFill>
          <bgColor theme="0" tint="-4.9989318521683403E-2"/>
        </patternFill>
      </fill>
      <border>
        <left style="hair">
          <color indexed="64"/>
        </left>
        <right style="hair">
          <color indexed="64"/>
        </right>
        <top style="hair">
          <color indexed="64"/>
        </top>
        <bottom style="hair">
          <color indexed="64"/>
        </bottom>
      </border>
    </dxf>
    <dxf>
      <fill>
        <patternFill>
          <bgColor rgb="FF92D050"/>
        </patternFill>
      </fill>
    </dxf>
    <dxf>
      <font>
        <color theme="2"/>
      </font>
      <fill>
        <patternFill>
          <bgColor theme="0" tint="-4.9989318521683403E-2"/>
        </patternFill>
      </fill>
      <border>
        <left style="hair">
          <color indexed="64"/>
        </left>
        <right style="hair">
          <color indexed="64"/>
        </right>
        <top style="hair">
          <color indexed="64"/>
        </top>
        <bottom style="hair">
          <color indexed="64"/>
        </bottom>
      </border>
    </dxf>
    <dxf>
      <fill>
        <patternFill>
          <bgColor rgb="FF92D050"/>
        </patternFill>
      </fill>
    </dxf>
    <dxf>
      <font>
        <condense val="0"/>
        <extend val="0"/>
        <color rgb="FF9C0006"/>
      </font>
      <fill>
        <patternFill>
          <bgColor rgb="FFFFC7CE"/>
        </patternFill>
      </fill>
    </dxf>
    <dxf>
      <font>
        <color theme="0" tint="-4.9989318521683403E-2"/>
      </font>
      <fill>
        <patternFill>
          <bgColor theme="0" tint="-4.9989318521683403E-2"/>
        </patternFill>
      </fill>
      <border>
        <left style="hair">
          <color auto="1"/>
        </left>
        <right style="hair">
          <color auto="1"/>
        </right>
        <top style="hair">
          <color auto="1"/>
        </top>
        <bottom style="hair">
          <color auto="1"/>
        </bottom>
      </border>
    </dxf>
    <dxf>
      <fill>
        <patternFill>
          <bgColor rgb="FF92D050"/>
        </patternFill>
      </fill>
    </dxf>
    <dxf>
      <fill>
        <patternFill>
          <bgColor rgb="FFFF0000"/>
        </patternFill>
      </fill>
    </dxf>
    <dxf>
      <font>
        <color theme="2"/>
      </font>
      <fill>
        <patternFill>
          <bgColor theme="0" tint="-4.9989318521683403E-2"/>
        </patternFill>
      </fill>
      <border>
        <left style="hair">
          <color indexed="64"/>
        </left>
        <right style="hair">
          <color indexed="64"/>
        </right>
        <top style="hair">
          <color indexed="64"/>
        </top>
        <bottom style="hair">
          <color indexed="64"/>
        </bottom>
      </border>
    </dxf>
    <dxf>
      <fill>
        <patternFill>
          <bgColor rgb="FF92D050"/>
        </patternFill>
      </fill>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rgb="FFFF0000"/>
        </patternFill>
      </fill>
    </dxf>
    <dxf>
      <fill>
        <patternFill>
          <bgColor rgb="FFFF0000"/>
        </patternFill>
      </fill>
    </dxf>
    <dxf>
      <font>
        <color theme="0" tint="-4.9989318521683403E-2"/>
      </font>
      <fill>
        <patternFill>
          <bgColor theme="0" tint="-4.9989318521683403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2"/>
      </font>
      <fill>
        <patternFill>
          <bgColor theme="0" tint="-4.9989318521683403E-2"/>
        </patternFill>
      </fill>
      <border>
        <left/>
        <right/>
        <top/>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
      <fill>
        <patternFill>
          <bgColor theme="0" tint="-4.9989318521683403E-2"/>
        </patternFill>
      </fill>
      <border>
        <left style="thin">
          <color auto="1"/>
        </left>
        <right style="thin">
          <color auto="1"/>
        </right>
        <top style="thin">
          <color auto="1"/>
        </top>
        <bottom style="thin">
          <color auto="1"/>
        </bottom>
        <vertical/>
        <horizontal/>
      </border>
    </dxf>
  </dxfs>
  <tableStyles count="0" defaultTableStyle="TableStyleMedium9" defaultPivotStyle="PivotStyleLight16"/>
  <colors>
    <mruColors>
      <color rgb="FFEEECE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eetMetadata" Target="metadata.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1"/>
          <c:order val="0"/>
          <c:tx>
            <c:strRef>
              <c:f>Input!$D$78</c:f>
              <c:strCache>
                <c:ptCount val="1"/>
                <c:pt idx="0">
                  <c:v>Blank</c:v>
                </c:pt>
              </c:strCache>
            </c:strRef>
          </c:tx>
          <c:spPr>
            <a:noFill/>
            <a:ln>
              <a:noFill/>
            </a:ln>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Input!$E$78:$S$78</c:f>
              <c:numCache>
                <c:formatCode>0.0</c:formatCode>
                <c:ptCount val="15"/>
                <c:pt idx="0">
                  <c:v>0</c:v>
                </c:pt>
                <c:pt idx="1">
                  <c:v>1671.5189173005638</c:v>
                </c:pt>
                <c:pt idx="2">
                  <c:v>17671.897739923534</c:v>
                </c:pt>
                <c:pt idx="3">
                  <c:v>17671.897739923534</c:v>
                </c:pt>
                <c:pt idx="4">
                  <c:v>17671.897739923534</c:v>
                </c:pt>
                <c:pt idx="5">
                  <c:v>17460.799300893992</c:v>
                </c:pt>
                <c:pt idx="6">
                  <c:v>17446.475144955548</c:v>
                </c:pt>
                <c:pt idx="7">
                  <c:v>13694.802563326984</c:v>
                </c:pt>
                <c:pt idx="8">
                  <c:v>12624.352961341005</c:v>
                </c:pt>
                <c:pt idx="9">
                  <c:v>10161.432553318311</c:v>
                </c:pt>
                <c:pt idx="10">
                  <c:v>7103.7288879068183</c:v>
                </c:pt>
                <c:pt idx="11">
                  <c:v>5927.8141795616793</c:v>
                </c:pt>
                <c:pt idx="12">
                  <c:v>4602.8240811284859</c:v>
                </c:pt>
                <c:pt idx="13">
                  <c:v>4570.9902501042907</c:v>
                </c:pt>
              </c:numCache>
            </c:numRef>
          </c:val>
          <c:extLst>
            <c:ext xmlns:c16="http://schemas.microsoft.com/office/drawing/2014/chart" uri="{C3380CC4-5D6E-409C-BE32-E72D297353CC}">
              <c16:uniqueId val="{00000000-7A9F-4C0D-83D5-89B1AEF75939}"/>
            </c:ext>
          </c:extLst>
        </c:ser>
        <c:ser>
          <c:idx val="0"/>
          <c:order val="1"/>
          <c:tx>
            <c:strRef>
              <c:f>Input!$D$79</c:f>
              <c:strCache>
                <c:ptCount val="1"/>
                <c:pt idx="0">
                  <c:v>Revenue</c:v>
                </c:pt>
              </c:strCache>
            </c:strRef>
          </c:tx>
          <c:spPr>
            <a:solidFill>
              <a:schemeClr val="tx2">
                <a:lumMod val="60000"/>
                <a:lumOff val="40000"/>
              </a:schemeClr>
            </a:solidFill>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Input!$E$79:$S$79</c:f>
              <c:numCache>
                <c:formatCode>General</c:formatCode>
                <c:ptCount val="15"/>
                <c:pt idx="0">
                  <c:v>1671.5189173005642</c:v>
                </c:pt>
                <c:pt idx="1">
                  <c:v>16000.37882262297</c:v>
                </c:pt>
                <c:pt idx="2">
                  <c:v>0</c:v>
                </c:pt>
              </c:numCache>
            </c:numRef>
          </c:val>
          <c:extLst>
            <c:ext xmlns:c16="http://schemas.microsoft.com/office/drawing/2014/chart" uri="{C3380CC4-5D6E-409C-BE32-E72D297353CC}">
              <c16:uniqueId val="{00000001-7A9F-4C0D-83D5-89B1AEF75939}"/>
            </c:ext>
          </c:extLst>
        </c:ser>
        <c:ser>
          <c:idx val="2"/>
          <c:order val="2"/>
          <c:tx>
            <c:strRef>
              <c:f>Input!$D$80</c:f>
              <c:strCache>
                <c:ptCount val="1"/>
                <c:pt idx="0">
                  <c:v>Cost Pos</c:v>
                </c:pt>
              </c:strCache>
            </c:strRef>
          </c:tx>
          <c:spPr>
            <a:solidFill>
              <a:srgbClr val="FFC000"/>
            </a:solidFill>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Input!$E$80:$S$80</c:f>
              <c:numCache>
                <c:formatCode>General</c:formatCode>
                <c:ptCount val="15"/>
                <c:pt idx="3">
                  <c:v>0</c:v>
                </c:pt>
                <c:pt idx="4">
                  <c:v>0</c:v>
                </c:pt>
                <c:pt idx="5">
                  <c:v>211.09843902954154</c:v>
                </c:pt>
                <c:pt idx="6">
                  <c:v>14.324155938444957</c:v>
                </c:pt>
                <c:pt idx="7">
                  <c:v>3751.6725816285634</c:v>
                </c:pt>
                <c:pt idx="8">
                  <c:v>1070.4496019859803</c:v>
                </c:pt>
                <c:pt idx="9">
                  <c:v>2462.9204080226941</c:v>
                </c:pt>
                <c:pt idx="10">
                  <c:v>3057.7036654114922</c:v>
                </c:pt>
                <c:pt idx="11">
                  <c:v>1175.9147083451385</c:v>
                </c:pt>
                <c:pt idx="12">
                  <c:v>1324.9900984331935</c:v>
                </c:pt>
                <c:pt idx="13">
                  <c:v>31.833831024195501</c:v>
                </c:pt>
              </c:numCache>
            </c:numRef>
          </c:val>
          <c:extLst>
            <c:ext xmlns:c16="http://schemas.microsoft.com/office/drawing/2014/chart" uri="{C3380CC4-5D6E-409C-BE32-E72D297353CC}">
              <c16:uniqueId val="{00000002-7A9F-4C0D-83D5-89B1AEF75939}"/>
            </c:ext>
          </c:extLst>
        </c:ser>
        <c:ser>
          <c:idx val="4"/>
          <c:order val="3"/>
          <c:tx>
            <c:strRef>
              <c:f>Input!$D$81</c:f>
              <c:strCache>
                <c:ptCount val="1"/>
                <c:pt idx="0">
                  <c:v>Cost Neg</c:v>
                </c:pt>
              </c:strCache>
            </c:strRef>
          </c:tx>
          <c:spPr>
            <a:solidFill>
              <a:srgbClr val="FFC000"/>
            </a:solidFill>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Input!$E$81:$S$81</c:f>
              <c:numCache>
                <c:formatCode>General</c:formatCode>
                <c:ptCount val="15"/>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7A9F-4C0D-83D5-89B1AEF75939}"/>
            </c:ext>
          </c:extLst>
        </c:ser>
        <c:ser>
          <c:idx val="3"/>
          <c:order val="4"/>
          <c:tx>
            <c:strRef>
              <c:f>Input!$D$82</c:f>
              <c:strCache>
                <c:ptCount val="1"/>
                <c:pt idx="0">
                  <c:v>Value pos</c:v>
                </c:pt>
              </c:strCache>
            </c:strRef>
          </c:tx>
          <c:spPr>
            <a:solidFill>
              <a:srgbClr val="00B050"/>
            </a:solidFill>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Input!$E$82:$S$82</c:f>
              <c:numCache>
                <c:formatCode>General</c:formatCode>
                <c:ptCount val="15"/>
                <c:pt idx="14">
                  <c:v>4570.9902501042889</c:v>
                </c:pt>
              </c:numCache>
            </c:numRef>
          </c:val>
          <c:extLst>
            <c:ext xmlns:c16="http://schemas.microsoft.com/office/drawing/2014/chart" uri="{C3380CC4-5D6E-409C-BE32-E72D297353CC}">
              <c16:uniqueId val="{00000004-7A9F-4C0D-83D5-89B1AEF75939}"/>
            </c:ext>
          </c:extLst>
        </c:ser>
        <c:ser>
          <c:idx val="5"/>
          <c:order val="5"/>
          <c:tx>
            <c:strRef>
              <c:f>Input!$D$83</c:f>
              <c:strCache>
                <c:ptCount val="1"/>
                <c:pt idx="0">
                  <c:v>Value neg</c:v>
                </c:pt>
              </c:strCache>
            </c:strRef>
          </c:tx>
          <c:spPr>
            <a:solidFill>
              <a:srgbClr val="FF0000"/>
            </a:solidFill>
          </c:spPr>
          <c:invertIfNegative val="0"/>
          <c:cat>
            <c:strRef>
              <c:f>Input!$E$77:$S$77</c:f>
              <c:strCache>
                <c:ptCount val="15"/>
                <c:pt idx="0">
                  <c:v>Gas Revenue</c:v>
                </c:pt>
                <c:pt idx="1">
                  <c:v>Liquids Revenue</c:v>
                </c:pt>
                <c:pt idx="2">
                  <c:v>Deposit Recovery</c:v>
                </c:pt>
                <c:pt idx="3">
                  <c:v>Seismic</c:v>
                </c:pt>
                <c:pt idx="4">
                  <c:v>Wildcat</c:v>
                </c:pt>
                <c:pt idx="5">
                  <c:v>Appraisal</c:v>
                </c:pt>
                <c:pt idx="6">
                  <c:v>Development Planning</c:v>
                </c:pt>
                <c:pt idx="7">
                  <c:v>Facilities &amp; Pipelines</c:v>
                </c:pt>
                <c:pt idx="8">
                  <c:v>Development Drilling</c:v>
                </c:pt>
                <c:pt idx="9">
                  <c:v>Operations</c:v>
                </c:pt>
                <c:pt idx="10">
                  <c:v>Royalty</c:v>
                </c:pt>
                <c:pt idx="11">
                  <c:v>Provincial Income Tax</c:v>
                </c:pt>
                <c:pt idx="12">
                  <c:v>Federal Income Tax</c:v>
                </c:pt>
                <c:pt idx="13">
                  <c:v>Abandonment</c:v>
                </c:pt>
                <c:pt idx="14">
                  <c:v>EMV</c:v>
                </c:pt>
              </c:strCache>
            </c:strRef>
          </c:cat>
          <c:val>
            <c:numRef>
              <c:f>Input!$E$83:$S$83</c:f>
              <c:numCache>
                <c:formatCode>General</c:formatCode>
                <c:ptCount val="15"/>
                <c:pt idx="14">
                  <c:v>0</c:v>
                </c:pt>
              </c:numCache>
            </c:numRef>
          </c:val>
          <c:extLst>
            <c:ext xmlns:c16="http://schemas.microsoft.com/office/drawing/2014/chart" uri="{C3380CC4-5D6E-409C-BE32-E72D297353CC}">
              <c16:uniqueId val="{00000005-7A9F-4C0D-83D5-89B1AEF75939}"/>
            </c:ext>
          </c:extLst>
        </c:ser>
        <c:dLbls>
          <c:showLegendKey val="0"/>
          <c:showVal val="0"/>
          <c:showCatName val="0"/>
          <c:showSerName val="0"/>
          <c:showPercent val="0"/>
          <c:showBubbleSize val="0"/>
        </c:dLbls>
        <c:gapWidth val="0"/>
        <c:overlap val="100"/>
        <c:axId val="-1768299360"/>
        <c:axId val="-1768305888"/>
      </c:barChart>
      <c:catAx>
        <c:axId val="-1768299360"/>
        <c:scaling>
          <c:orientation val="minMax"/>
        </c:scaling>
        <c:delete val="0"/>
        <c:axPos val="b"/>
        <c:numFmt formatCode="General" sourceLinked="1"/>
        <c:majorTickMark val="none"/>
        <c:minorTickMark val="none"/>
        <c:tickLblPos val="low"/>
        <c:spPr>
          <a:ln>
            <a:noFill/>
          </a:ln>
        </c:spPr>
        <c:txPr>
          <a:bodyPr rot="-2700000" vert="horz"/>
          <a:lstStyle/>
          <a:p>
            <a:pPr>
              <a:defRPr sz="1100" b="0" i="0" u="none" strike="noStrike" baseline="0">
                <a:solidFill>
                  <a:srgbClr val="000000"/>
                </a:solidFill>
                <a:latin typeface="Calibri"/>
                <a:ea typeface="Calibri"/>
                <a:cs typeface="Calibri"/>
              </a:defRPr>
            </a:pPr>
            <a:endParaRPr lang="en-US"/>
          </a:p>
        </c:txPr>
        <c:crossAx val="-1768305888"/>
        <c:crosses val="autoZero"/>
        <c:auto val="1"/>
        <c:lblAlgn val="ctr"/>
        <c:lblOffset val="100"/>
        <c:noMultiLvlLbl val="0"/>
      </c:catAx>
      <c:valAx>
        <c:axId val="-1768305888"/>
        <c:scaling>
          <c:orientation val="minMax"/>
        </c:scaling>
        <c:delete val="0"/>
        <c:axPos val="l"/>
        <c:majorGridlines>
          <c:spPr>
            <a:ln>
              <a:solidFill>
                <a:sysClr val="windowText" lastClr="000000"/>
              </a:solidFill>
            </a:ln>
            <a:effectLst/>
          </c:spPr>
        </c:majorGridlines>
        <c:numFmt formatCode="0.0" sourceLinked="1"/>
        <c:majorTickMark val="none"/>
        <c:minorTickMark val="none"/>
        <c:tickLblPos val="nextTo"/>
        <c:spPr>
          <a:ln>
            <a:noFill/>
          </a:ln>
        </c:spPr>
        <c:txPr>
          <a:bodyPr rot="0" vert="horz"/>
          <a:lstStyle/>
          <a:p>
            <a:pPr>
              <a:defRPr sz="1100" b="0" i="0" u="none" strike="noStrike" baseline="0">
                <a:solidFill>
                  <a:srgbClr val="000000"/>
                </a:solidFill>
                <a:latin typeface="Calibri"/>
                <a:ea typeface="Calibri"/>
                <a:cs typeface="Calibri"/>
              </a:defRPr>
            </a:pPr>
            <a:endParaRPr lang="en-US"/>
          </a:p>
        </c:txPr>
        <c:crossAx val="-1768299360"/>
        <c:crosses val="autoZero"/>
        <c:crossBetween val="between"/>
      </c:valAx>
      <c:spPr>
        <a:solidFill>
          <a:schemeClr val="bg1">
            <a:lumMod val="95000"/>
          </a:schemeClr>
        </a:solidFill>
        <a:ln>
          <a:noFill/>
        </a:ln>
      </c:spPr>
    </c:plotArea>
    <c:plotVisOnly val="1"/>
    <c:dispBlanksAs val="gap"/>
    <c:showDLblsOverMax val="0"/>
  </c:chart>
  <c:spPr>
    <a:solidFill>
      <a:schemeClr val="bg1">
        <a:lumMod val="95000"/>
      </a:schemeClr>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Assumptions'!$I$5</c:f>
          <c:strCache>
            <c:ptCount val="1"/>
            <c:pt idx="0">
              <c:v>Real Nymex Oil Price US$2026 / BBL</c:v>
            </c:pt>
          </c:strCache>
        </c:strRef>
      </c:tx>
      <c:overlay val="0"/>
      <c:txPr>
        <a:bodyPr/>
        <a:lstStyle/>
        <a:p>
          <a:pPr>
            <a:defRPr sz="1400"/>
          </a:pPr>
          <a:endParaRPr lang="en-US"/>
        </a:p>
      </c:txPr>
    </c:title>
    <c:autoTitleDeleted val="0"/>
    <c:plotArea>
      <c:layout/>
      <c:scatterChart>
        <c:scatterStyle val="smoothMarker"/>
        <c:varyColors val="0"/>
        <c:ser>
          <c:idx val="0"/>
          <c:order val="0"/>
          <c:tx>
            <c:strRef>
              <c:f>'Price Charts'!$I$38</c:f>
              <c:strCache>
                <c:ptCount val="1"/>
                <c:pt idx="0">
                  <c:v>Base</c:v>
                </c:pt>
              </c:strCache>
            </c:strRef>
          </c:tx>
          <c:marker>
            <c:symbol val="none"/>
          </c:marker>
          <c:xVal>
            <c:numRef>
              <c:f>'Price Charts'!$H$39:$H$67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Charts'!$I$39:$I$67</c:f>
              <c:numCache>
                <c:formatCode>0.00</c:formatCode>
                <c:ptCount val="29"/>
                <c:pt idx="0">
                  <c:v>51.79321389783243</c:v>
                </c:pt>
                <c:pt idx="1">
                  <c:v>87.061915265486419</c:v>
                </c:pt>
                <c:pt idx="2">
                  <c:v>116.04855842994588</c:v>
                </c:pt>
                <c:pt idx="3">
                  <c:v>97.142367928320013</c:v>
                </c:pt>
                <c:pt idx="4">
                  <c:v>91.990878719999998</c:v>
                </c:pt>
                <c:pt idx="5">
                  <c:v>90.687792000000002</c:v>
                </c:pt>
                <c:pt idx="6">
                  <c:v>90.176500000000004</c:v>
                </c:pt>
                <c:pt idx="7">
                  <c:v>90.176500000000019</c:v>
                </c:pt>
                <c:pt idx="8">
                  <c:v>90.176500000000004</c:v>
                </c:pt>
                <c:pt idx="9">
                  <c:v>90.176500000000004</c:v>
                </c:pt>
                <c:pt idx="10">
                  <c:v>90.176500000000004</c:v>
                </c:pt>
                <c:pt idx="11">
                  <c:v>90.176500000000004</c:v>
                </c:pt>
                <c:pt idx="12">
                  <c:v>90.176500000000019</c:v>
                </c:pt>
                <c:pt idx="13">
                  <c:v>90.176500000000004</c:v>
                </c:pt>
                <c:pt idx="14">
                  <c:v>90.176500000000019</c:v>
                </c:pt>
                <c:pt idx="15">
                  <c:v>90.176500000000019</c:v>
                </c:pt>
                <c:pt idx="16">
                  <c:v>90.176500000000019</c:v>
                </c:pt>
                <c:pt idx="17">
                  <c:v>90.176500000000033</c:v>
                </c:pt>
                <c:pt idx="18">
                  <c:v>90.176500000000033</c:v>
                </c:pt>
                <c:pt idx="19">
                  <c:v>90.176500000000033</c:v>
                </c:pt>
                <c:pt idx="20">
                  <c:v>90.176500000000033</c:v>
                </c:pt>
                <c:pt idx="21">
                  <c:v>90.176500000000033</c:v>
                </c:pt>
                <c:pt idx="22">
                  <c:v>90.176500000000033</c:v>
                </c:pt>
                <c:pt idx="23">
                  <c:v>90.176500000000033</c:v>
                </c:pt>
                <c:pt idx="24">
                  <c:v>90.176500000000033</c:v>
                </c:pt>
                <c:pt idx="25">
                  <c:v>90.176500000000033</c:v>
                </c:pt>
                <c:pt idx="26">
                  <c:v>90.176500000000047</c:v>
                </c:pt>
                <c:pt idx="27">
                  <c:v>90.176500000000061</c:v>
                </c:pt>
                <c:pt idx="28">
                  <c:v>90.176500000000061</c:v>
                </c:pt>
              </c:numCache>
            </c:numRef>
          </c:yVal>
          <c:smooth val="1"/>
          <c:extLst>
            <c:ext xmlns:c16="http://schemas.microsoft.com/office/drawing/2014/chart" uri="{C3380CC4-5D6E-409C-BE32-E72D297353CC}">
              <c16:uniqueId val="{00000000-F3F4-41F7-959D-62A14A2AFA37}"/>
            </c:ext>
          </c:extLst>
        </c:ser>
        <c:ser>
          <c:idx val="1"/>
          <c:order val="1"/>
          <c:tx>
            <c:strRef>
              <c:f>'Price Charts'!$J$38</c:f>
              <c:strCache>
                <c:ptCount val="1"/>
                <c:pt idx="0">
                  <c:v>High Inflation</c:v>
                </c:pt>
              </c:strCache>
            </c:strRef>
          </c:tx>
          <c:marker>
            <c:symbol val="none"/>
          </c:marker>
          <c:xVal>
            <c:numRef>
              <c:f>'Price Charts'!$H$39:$H$67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Charts'!$J$39:$J$67</c:f>
              <c:numCache>
                <c:formatCode>0.00</c:formatCode>
                <c:ptCount val="29"/>
                <c:pt idx="0">
                  <c:v>53.778361478407035</c:v>
                </c:pt>
                <c:pt idx="1">
                  <c:v>90.398853397775298</c:v>
                </c:pt>
                <c:pt idx="2">
                  <c:v>120.4965062914324</c:v>
                </c:pt>
                <c:pt idx="3">
                  <c:v>100.865673013125</c:v>
                </c:pt>
                <c:pt idx="4">
                  <c:v>94.709552125000016</c:v>
                </c:pt>
                <c:pt idx="5">
                  <c:v>92.159507500000004</c:v>
                </c:pt>
                <c:pt idx="6">
                  <c:v>90.176500000000004</c:v>
                </c:pt>
                <c:pt idx="7">
                  <c:v>89.082728422336828</c:v>
                </c:pt>
                <c:pt idx="8">
                  <c:v>88.363649918386898</c:v>
                </c:pt>
                <c:pt idx="9">
                  <c:v>87.936772382549293</c:v>
                </c:pt>
                <c:pt idx="10">
                  <c:v>87.511957057029733</c:v>
                </c:pt>
                <c:pt idx="11">
                  <c:v>87.089193979459566</c:v>
                </c:pt>
                <c:pt idx="12">
                  <c:v>86.668473235597446</c:v>
                </c:pt>
                <c:pt idx="13">
                  <c:v>86.249784959096985</c:v>
                </c:pt>
                <c:pt idx="14">
                  <c:v>85.83311933127527</c:v>
                </c:pt>
                <c:pt idx="15">
                  <c:v>85.418466580882651</c:v>
                </c:pt>
                <c:pt idx="16">
                  <c:v>85.005816983873558</c:v>
                </c:pt>
                <c:pt idx="17">
                  <c:v>84.595160863178521</c:v>
                </c:pt>
                <c:pt idx="18">
                  <c:v>84.186488588477189</c:v>
                </c:pt>
                <c:pt idx="19">
                  <c:v>83.779790575972484</c:v>
                </c:pt>
                <c:pt idx="20">
                  <c:v>83.375057288165863</c:v>
                </c:pt>
                <c:pt idx="21">
                  <c:v>82.972279233633671</c:v>
                </c:pt>
                <c:pt idx="22">
                  <c:v>82.57144696680453</c:v>
                </c:pt>
                <c:pt idx="23">
                  <c:v>82.172551087737844</c:v>
                </c:pt>
                <c:pt idx="24">
                  <c:v>81.775582241903379</c:v>
                </c:pt>
                <c:pt idx="25">
                  <c:v>81.38053111996183</c:v>
                </c:pt>
                <c:pt idx="26">
                  <c:v>80.987388457546572</c:v>
                </c:pt>
                <c:pt idx="27">
                  <c:v>80.596145035046348</c:v>
                </c:pt>
                <c:pt idx="28">
                  <c:v>80.206791677389134</c:v>
                </c:pt>
              </c:numCache>
            </c:numRef>
          </c:yVal>
          <c:smooth val="1"/>
          <c:extLst>
            <c:ext xmlns:c16="http://schemas.microsoft.com/office/drawing/2014/chart" uri="{C3380CC4-5D6E-409C-BE32-E72D297353CC}">
              <c16:uniqueId val="{00000001-F3F4-41F7-959D-62A14A2AFA37}"/>
            </c:ext>
          </c:extLst>
        </c:ser>
        <c:ser>
          <c:idx val="2"/>
          <c:order val="2"/>
          <c:tx>
            <c:strRef>
              <c:f>'Price Charts'!$K$38</c:f>
              <c:strCache>
                <c:ptCount val="1"/>
                <c:pt idx="0">
                  <c:v>Base + 3%/y</c:v>
                </c:pt>
              </c:strCache>
            </c:strRef>
          </c:tx>
          <c:marker>
            <c:symbol val="none"/>
          </c:marker>
          <c:xVal>
            <c:numRef>
              <c:f>'Price Charts'!$H$39:$H$67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Charts'!$K$39:$K$67</c:f>
              <c:numCache>
                <c:formatCode>0.00</c:formatCode>
                <c:ptCount val="29"/>
                <c:pt idx="0">
                  <c:v>45.413594257216772</c:v>
                </c:pt>
                <c:pt idx="1">
                  <c:v>77.082841544238249</c:v>
                </c:pt>
                <c:pt idx="2">
                  <c:v>104.75184332031249</c:v>
                </c:pt>
                <c:pt idx="3">
                  <c:v>91.535703124999984</c:v>
                </c:pt>
                <c:pt idx="4">
                  <c:v>89.303124999999994</c:v>
                </c:pt>
                <c:pt idx="5">
                  <c:v>92.352499999999992</c:v>
                </c:pt>
                <c:pt idx="6">
                  <c:v>95.429500000000004</c:v>
                </c:pt>
                <c:pt idx="7">
                  <c:v>98.534321951219539</c:v>
                </c:pt>
                <c:pt idx="8">
                  <c:v>101.66716406900657</c:v>
                </c:pt>
                <c:pt idx="9">
                  <c:v>104.82822584048409</c:v>
                </c:pt>
                <c:pt idx="10">
                  <c:v>108.01770803224088</c:v>
                </c:pt>
                <c:pt idx="11">
                  <c:v>111.23581269806739</c:v>
                </c:pt>
                <c:pt idx="12">
                  <c:v>114.48274318673641</c:v>
                </c:pt>
                <c:pt idx="13">
                  <c:v>117.75870414982913</c:v>
                </c:pt>
                <c:pt idx="14">
                  <c:v>121.06390154960674</c:v>
                </c:pt>
                <c:pt idx="15">
                  <c:v>124.39854266692767</c:v>
                </c:pt>
                <c:pt idx="16">
                  <c:v>127.76283610921115</c:v>
                </c:pt>
                <c:pt idx="17">
                  <c:v>131.15699181844693</c:v>
                </c:pt>
                <c:pt idx="18">
                  <c:v>134.58122107925146</c:v>
                </c:pt>
                <c:pt idx="19">
                  <c:v>138.03573652697122</c:v>
                </c:pt>
                <c:pt idx="20">
                  <c:v>141.52075215583281</c:v>
                </c:pt>
                <c:pt idx="21">
                  <c:v>145.0364833271407</c:v>
                </c:pt>
                <c:pt idx="22">
                  <c:v>148.5831467775225</c:v>
                </c:pt>
                <c:pt idx="23">
                  <c:v>152.16096062722204</c:v>
                </c:pt>
                <c:pt idx="24">
                  <c:v>155.77014438844094</c:v>
                </c:pt>
                <c:pt idx="25">
                  <c:v>159.41091897372817</c:v>
                </c:pt>
                <c:pt idx="26">
                  <c:v>163.08350670441888</c:v>
                </c:pt>
                <c:pt idx="27">
                  <c:v>166.7881313191217</c:v>
                </c:pt>
                <c:pt idx="28">
                  <c:v>170.5250179822558</c:v>
                </c:pt>
              </c:numCache>
            </c:numRef>
          </c:yVal>
          <c:smooth val="1"/>
          <c:extLst>
            <c:ext xmlns:c16="http://schemas.microsoft.com/office/drawing/2014/chart" uri="{C3380CC4-5D6E-409C-BE32-E72D297353CC}">
              <c16:uniqueId val="{00000002-F3F4-41F7-959D-62A14A2AFA37}"/>
            </c:ext>
          </c:extLst>
        </c:ser>
        <c:ser>
          <c:idx val="3"/>
          <c:order val="3"/>
          <c:tx>
            <c:strRef>
              <c:f>'Price Charts'!$L$38</c:f>
              <c:strCache>
                <c:ptCount val="1"/>
                <c:pt idx="0">
                  <c:v>Base - 1.5%/y</c:v>
                </c:pt>
              </c:strCache>
            </c:strRef>
          </c:tx>
          <c:marker>
            <c:symbol val="none"/>
          </c:marker>
          <c:xVal>
            <c:numRef>
              <c:f>'Price Charts'!$H$39:$H$67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Charts'!$L$39:$L$67</c:f>
              <c:numCache>
                <c:formatCode>0.00</c:formatCode>
                <c:ptCount val="29"/>
                <c:pt idx="0">
                  <c:v>45.413594257216772</c:v>
                </c:pt>
                <c:pt idx="1">
                  <c:v>77.082841544238249</c:v>
                </c:pt>
                <c:pt idx="2">
                  <c:v>104.75184332031249</c:v>
                </c:pt>
                <c:pt idx="3">
                  <c:v>91.535703124999984</c:v>
                </c:pt>
                <c:pt idx="4">
                  <c:v>89.303124999999994</c:v>
                </c:pt>
                <c:pt idx="5">
                  <c:v>88.431874999999977</c:v>
                </c:pt>
                <c:pt idx="6">
                  <c:v>87.607375000000005</c:v>
                </c:pt>
                <c:pt idx="7">
                  <c:v>86.827862804878066</c:v>
                </c:pt>
                <c:pt idx="8">
                  <c:v>86.091645291493194</c:v>
                </c:pt>
                <c:pt idx="9">
                  <c:v>85.39709571467337</c:v>
                </c:pt>
                <c:pt idx="10">
                  <c:v>84.742651118342962</c:v>
                </c:pt>
                <c:pt idx="11">
                  <c:v>84.126809847686616</c:v>
                </c:pt>
                <c:pt idx="12">
                  <c:v>83.548129158406553</c:v>
                </c:pt>
                <c:pt idx="13">
                  <c:v>83.005222919284691</c:v>
                </c:pt>
                <c:pt idx="14">
                  <c:v>82.496759404408095</c:v>
                </c:pt>
                <c:pt idx="15">
                  <c:v>82.021459171558917</c:v>
                </c:pt>
                <c:pt idx="16">
                  <c:v>81.578093023406311</c:v>
                </c:pt>
                <c:pt idx="17">
                  <c:v>81.165480048269089</c:v>
                </c:pt>
                <c:pt idx="18">
                  <c:v>80.782485737343876</c:v>
                </c:pt>
                <c:pt idx="19">
                  <c:v>80.428020175414815</c:v>
                </c:pt>
                <c:pt idx="20">
                  <c:v>80.10103630217742</c:v>
                </c:pt>
                <c:pt idx="21">
                  <c:v>79.800528241420665</c:v>
                </c:pt>
                <c:pt idx="22">
                  <c:v>79.525529695419493</c:v>
                </c:pt>
                <c:pt idx="23">
                  <c:v>79.275112401992814</c:v>
                </c:pt>
                <c:pt idx="24">
                  <c:v>79.048384651781618</c:v>
                </c:pt>
                <c:pt idx="25">
                  <c:v>78.844489863397172</c:v>
                </c:pt>
                <c:pt idx="26">
                  <c:v>78.662605214180985</c:v>
                </c:pt>
                <c:pt idx="27">
                  <c:v>78.501940324406377</c:v>
                </c:pt>
                <c:pt idx="28">
                  <c:v>78.361735992836159</c:v>
                </c:pt>
              </c:numCache>
            </c:numRef>
          </c:yVal>
          <c:smooth val="1"/>
          <c:extLst>
            <c:ext xmlns:c16="http://schemas.microsoft.com/office/drawing/2014/chart" uri="{C3380CC4-5D6E-409C-BE32-E72D297353CC}">
              <c16:uniqueId val="{00000003-F3F4-41F7-959D-62A14A2AFA37}"/>
            </c:ext>
          </c:extLst>
        </c:ser>
        <c:ser>
          <c:idx val="4"/>
          <c:order val="4"/>
          <c:tx>
            <c:strRef>
              <c:f>'Price Charts'!$M$38</c:f>
              <c:strCache>
                <c:ptCount val="1"/>
                <c:pt idx="0">
                  <c:v>Flat Real</c:v>
                </c:pt>
              </c:strCache>
            </c:strRef>
          </c:tx>
          <c:marker>
            <c:symbol val="none"/>
          </c:marker>
          <c:xVal>
            <c:numRef>
              <c:f>'Price Charts'!$H$39:$H$67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Charts'!$M$39:$M$67</c:f>
              <c:numCache>
                <c:formatCode>0.00</c:formatCode>
                <c:ptCount val="29"/>
                <c:pt idx="0">
                  <c:v>45.413594257216772</c:v>
                </c:pt>
                <c:pt idx="1">
                  <c:v>77.082841544238249</c:v>
                </c:pt>
                <c:pt idx="2">
                  <c:v>104.75184332031249</c:v>
                </c:pt>
                <c:pt idx="3">
                  <c:v>91.535703124999984</c:v>
                </c:pt>
                <c:pt idx="4">
                  <c:v>91.535703124999984</c:v>
                </c:pt>
                <c:pt idx="5">
                  <c:v>91.535703124999969</c:v>
                </c:pt>
                <c:pt idx="6">
                  <c:v>91.535703124999969</c:v>
                </c:pt>
                <c:pt idx="7">
                  <c:v>91.535703124999969</c:v>
                </c:pt>
                <c:pt idx="8">
                  <c:v>91.535703124999955</c:v>
                </c:pt>
                <c:pt idx="9">
                  <c:v>91.535703124999969</c:v>
                </c:pt>
                <c:pt idx="10">
                  <c:v>91.535703124999955</c:v>
                </c:pt>
                <c:pt idx="11">
                  <c:v>91.535703124999969</c:v>
                </c:pt>
                <c:pt idx="12">
                  <c:v>91.535703124999969</c:v>
                </c:pt>
                <c:pt idx="13">
                  <c:v>91.535703124999969</c:v>
                </c:pt>
                <c:pt idx="14">
                  <c:v>91.535703124999969</c:v>
                </c:pt>
                <c:pt idx="15">
                  <c:v>91.535703124999969</c:v>
                </c:pt>
                <c:pt idx="16">
                  <c:v>91.535703124999969</c:v>
                </c:pt>
                <c:pt idx="17">
                  <c:v>91.535703124999969</c:v>
                </c:pt>
                <c:pt idx="18">
                  <c:v>91.535703124999969</c:v>
                </c:pt>
                <c:pt idx="19">
                  <c:v>91.535703124999969</c:v>
                </c:pt>
                <c:pt idx="20">
                  <c:v>91.535703124999969</c:v>
                </c:pt>
                <c:pt idx="21">
                  <c:v>91.535703124999984</c:v>
                </c:pt>
                <c:pt idx="22">
                  <c:v>91.535703124999969</c:v>
                </c:pt>
                <c:pt idx="23">
                  <c:v>91.535703124999984</c:v>
                </c:pt>
                <c:pt idx="24">
                  <c:v>91.535703124999998</c:v>
                </c:pt>
                <c:pt idx="25">
                  <c:v>91.535703124999998</c:v>
                </c:pt>
                <c:pt idx="26">
                  <c:v>91.535703124999998</c:v>
                </c:pt>
                <c:pt idx="27">
                  <c:v>91.535703124999998</c:v>
                </c:pt>
                <c:pt idx="28">
                  <c:v>91.535703124999998</c:v>
                </c:pt>
              </c:numCache>
            </c:numRef>
          </c:yVal>
          <c:smooth val="1"/>
          <c:extLst>
            <c:ext xmlns:c16="http://schemas.microsoft.com/office/drawing/2014/chart" uri="{C3380CC4-5D6E-409C-BE32-E72D297353CC}">
              <c16:uniqueId val="{00000004-F3F4-41F7-959D-62A14A2AFA37}"/>
            </c:ext>
          </c:extLst>
        </c:ser>
        <c:dLbls>
          <c:showLegendKey val="0"/>
          <c:showVal val="0"/>
          <c:showCatName val="0"/>
          <c:showSerName val="0"/>
          <c:showPercent val="0"/>
          <c:showBubbleSize val="0"/>
        </c:dLbls>
        <c:axId val="-1765491088"/>
        <c:axId val="-1765504688"/>
      </c:scatterChart>
      <c:valAx>
        <c:axId val="-1765491088"/>
        <c:scaling>
          <c:orientation val="minMax"/>
          <c:min val="202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5504688"/>
        <c:crosses val="autoZero"/>
        <c:crossBetween val="midCat"/>
      </c:valAx>
      <c:valAx>
        <c:axId val="-1765504688"/>
        <c:scaling>
          <c:orientation val="minMax"/>
        </c:scaling>
        <c:delete val="0"/>
        <c:axPos val="l"/>
        <c:majorGridlines/>
        <c:numFmt formatCode="0" sourceLinked="0"/>
        <c:majorTickMark val="out"/>
        <c:minorTickMark val="none"/>
        <c:tickLblPos val="nextTo"/>
        <c:crossAx val="-1765491088"/>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HH Gas Price $US / MMBTU</a:t>
            </a:r>
          </a:p>
        </c:rich>
      </c:tx>
      <c:overlay val="0"/>
    </c:title>
    <c:autoTitleDeleted val="0"/>
    <c:plotArea>
      <c:layout/>
      <c:scatterChart>
        <c:scatterStyle val="smoothMarker"/>
        <c:varyColors val="0"/>
        <c:ser>
          <c:idx val="0"/>
          <c:order val="0"/>
          <c:tx>
            <c:strRef>
              <c:f>'Price Charts'!$P$38</c:f>
              <c:strCache>
                <c:ptCount val="1"/>
                <c:pt idx="0">
                  <c:v>Base</c:v>
                </c:pt>
              </c:strCache>
            </c:strRef>
          </c:tx>
          <c:marker>
            <c:symbol val="none"/>
          </c:marker>
          <c:xVal>
            <c:numRef>
              <c:f>'Price Charts'!$O$39:$O$67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Charts'!$P$39:$P$67</c:f>
              <c:numCache>
                <c:formatCode>0.00</c:formatCode>
                <c:ptCount val="29"/>
                <c:pt idx="0">
                  <c:v>2</c:v>
                </c:pt>
                <c:pt idx="1">
                  <c:v>3.9</c:v>
                </c:pt>
                <c:pt idx="2">
                  <c:v>6.4</c:v>
                </c:pt>
                <c:pt idx="3">
                  <c:v>2.75</c:v>
                </c:pt>
                <c:pt idx="4">
                  <c:v>3</c:v>
                </c:pt>
                <c:pt idx="5">
                  <c:v>3.09</c:v>
                </c:pt>
                <c:pt idx="6">
                  <c:v>3.1827000000000001</c:v>
                </c:pt>
                <c:pt idx="7">
                  <c:v>3.278181</c:v>
                </c:pt>
                <c:pt idx="8">
                  <c:v>3.3765264300000002</c:v>
                </c:pt>
                <c:pt idx="9">
                  <c:v>3.4778222229000004</c:v>
                </c:pt>
                <c:pt idx="10">
                  <c:v>3.5821568895870004</c:v>
                </c:pt>
                <c:pt idx="11">
                  <c:v>3.6896215962746104</c:v>
                </c:pt>
                <c:pt idx="12">
                  <c:v>3.8003102441628487</c:v>
                </c:pt>
                <c:pt idx="13">
                  <c:v>3.914319551487734</c:v>
                </c:pt>
                <c:pt idx="14">
                  <c:v>4.0317491380323665</c:v>
                </c:pt>
                <c:pt idx="15">
                  <c:v>4.1527016121733373</c:v>
                </c:pt>
                <c:pt idx="16">
                  <c:v>4.2772826605385372</c:v>
                </c:pt>
                <c:pt idx="17">
                  <c:v>4.4056011403546931</c:v>
                </c:pt>
                <c:pt idx="18">
                  <c:v>4.5377691745653337</c:v>
                </c:pt>
                <c:pt idx="19">
                  <c:v>4.6739022498022935</c:v>
                </c:pt>
                <c:pt idx="20">
                  <c:v>4.8141193172963623</c:v>
                </c:pt>
                <c:pt idx="21">
                  <c:v>4.9585428968152536</c:v>
                </c:pt>
                <c:pt idx="22">
                  <c:v>5.1072991837197117</c:v>
                </c:pt>
                <c:pt idx="23">
                  <c:v>5.2605181592313031</c:v>
                </c:pt>
                <c:pt idx="24">
                  <c:v>5.4183337040082424</c:v>
                </c:pt>
                <c:pt idx="25">
                  <c:v>5.5808837151284898</c:v>
                </c:pt>
                <c:pt idx="26">
                  <c:v>5.7483102265823449</c:v>
                </c:pt>
                <c:pt idx="27">
                  <c:v>5.9207595333798153</c:v>
                </c:pt>
                <c:pt idx="28">
                  <c:v>6.0983823193812103</c:v>
                </c:pt>
              </c:numCache>
            </c:numRef>
          </c:yVal>
          <c:smooth val="1"/>
          <c:extLst>
            <c:ext xmlns:c16="http://schemas.microsoft.com/office/drawing/2014/chart" uri="{C3380CC4-5D6E-409C-BE32-E72D297353CC}">
              <c16:uniqueId val="{00000000-06D6-4D7D-A8B2-8432C2642ADE}"/>
            </c:ext>
          </c:extLst>
        </c:ser>
        <c:ser>
          <c:idx val="1"/>
          <c:order val="1"/>
          <c:tx>
            <c:strRef>
              <c:f>'Price Charts'!$Q$38</c:f>
              <c:strCache>
                <c:ptCount val="1"/>
                <c:pt idx="0">
                  <c:v>High Inflation</c:v>
                </c:pt>
              </c:strCache>
            </c:strRef>
          </c:tx>
          <c:marker>
            <c:symbol val="none"/>
          </c:marker>
          <c:xVal>
            <c:numRef>
              <c:f>'Price Charts'!$O$39:$O$67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Charts'!$Q$39:$Q$67</c:f>
              <c:numCache>
                <c:formatCode>0.00</c:formatCode>
                <c:ptCount val="29"/>
                <c:pt idx="0">
                  <c:v>2</c:v>
                </c:pt>
                <c:pt idx="1">
                  <c:v>3.9</c:v>
                </c:pt>
                <c:pt idx="2">
                  <c:v>6.4</c:v>
                </c:pt>
                <c:pt idx="3">
                  <c:v>2.75</c:v>
                </c:pt>
                <c:pt idx="4">
                  <c:v>3</c:v>
                </c:pt>
                <c:pt idx="5">
                  <c:v>3.09</c:v>
                </c:pt>
                <c:pt idx="6">
                  <c:v>3.1827000000000001</c:v>
                </c:pt>
                <c:pt idx="7">
                  <c:v>3.278181</c:v>
                </c:pt>
                <c:pt idx="8">
                  <c:v>3.3765264300000002</c:v>
                </c:pt>
                <c:pt idx="9">
                  <c:v>3.4778222229000004</c:v>
                </c:pt>
                <c:pt idx="10">
                  <c:v>3.5821568895870004</c:v>
                </c:pt>
                <c:pt idx="11">
                  <c:v>3.6896215962746104</c:v>
                </c:pt>
                <c:pt idx="12">
                  <c:v>3.8003102441628487</c:v>
                </c:pt>
                <c:pt idx="13">
                  <c:v>3.914319551487734</c:v>
                </c:pt>
                <c:pt idx="14">
                  <c:v>4.0317491380323665</c:v>
                </c:pt>
                <c:pt idx="15">
                  <c:v>4.1527016121733373</c:v>
                </c:pt>
                <c:pt idx="16">
                  <c:v>4.2772826605385372</c:v>
                </c:pt>
                <c:pt idx="17">
                  <c:v>4.4056011403546931</c:v>
                </c:pt>
                <c:pt idx="18">
                  <c:v>4.5377691745653337</c:v>
                </c:pt>
                <c:pt idx="19">
                  <c:v>4.6739022498022935</c:v>
                </c:pt>
                <c:pt idx="20">
                  <c:v>4.8141193172963623</c:v>
                </c:pt>
                <c:pt idx="21">
                  <c:v>4.9585428968152536</c:v>
                </c:pt>
                <c:pt idx="22">
                  <c:v>5.1072991837197117</c:v>
                </c:pt>
                <c:pt idx="23">
                  <c:v>5.2605181592313031</c:v>
                </c:pt>
                <c:pt idx="24">
                  <c:v>5.4183337040082424</c:v>
                </c:pt>
                <c:pt idx="25">
                  <c:v>5.5808837151284898</c:v>
                </c:pt>
                <c:pt idx="26">
                  <c:v>5.7483102265823449</c:v>
                </c:pt>
                <c:pt idx="27">
                  <c:v>5.9207595333798153</c:v>
                </c:pt>
                <c:pt idx="28">
                  <c:v>6.0983823193812103</c:v>
                </c:pt>
              </c:numCache>
            </c:numRef>
          </c:yVal>
          <c:smooth val="1"/>
          <c:extLst>
            <c:ext xmlns:c16="http://schemas.microsoft.com/office/drawing/2014/chart" uri="{C3380CC4-5D6E-409C-BE32-E72D297353CC}">
              <c16:uniqueId val="{00000001-06D6-4D7D-A8B2-8432C2642ADE}"/>
            </c:ext>
          </c:extLst>
        </c:ser>
        <c:ser>
          <c:idx val="2"/>
          <c:order val="2"/>
          <c:tx>
            <c:strRef>
              <c:f>'Price Charts'!$R$38</c:f>
              <c:strCache>
                <c:ptCount val="1"/>
                <c:pt idx="0">
                  <c:v>Base + 3%/y</c:v>
                </c:pt>
              </c:strCache>
            </c:strRef>
          </c:tx>
          <c:marker>
            <c:symbol val="none"/>
          </c:marker>
          <c:xVal>
            <c:numRef>
              <c:f>'Price Charts'!$O$39:$O$67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Charts'!$R$39:$R$67</c:f>
              <c:numCache>
                <c:formatCode>0.00</c:formatCode>
                <c:ptCount val="29"/>
                <c:pt idx="0">
                  <c:v>2</c:v>
                </c:pt>
                <c:pt idx="1">
                  <c:v>3.9</c:v>
                </c:pt>
                <c:pt idx="2">
                  <c:v>6.4</c:v>
                </c:pt>
                <c:pt idx="3">
                  <c:v>2.75</c:v>
                </c:pt>
                <c:pt idx="4">
                  <c:v>3</c:v>
                </c:pt>
                <c:pt idx="5">
                  <c:v>3.1799999999999997</c:v>
                </c:pt>
                <c:pt idx="6">
                  <c:v>3.3681000000000001</c:v>
                </c:pt>
                <c:pt idx="7">
                  <c:v>3.5646240000000002</c:v>
                </c:pt>
                <c:pt idx="8">
                  <c:v>3.7699081500000005</c:v>
                </c:pt>
                <c:pt idx="9">
                  <c:v>3.9843011874000007</c:v>
                </c:pt>
                <c:pt idx="10">
                  <c:v>4.2081648897090016</c:v>
                </c:pt>
                <c:pt idx="11">
                  <c:v>4.4418745430878817</c:v>
                </c:pt>
                <c:pt idx="12">
                  <c:v>4.6858194272687559</c:v>
                </c:pt>
                <c:pt idx="13">
                  <c:v>4.9404033174117039</c:v>
                </c:pt>
                <c:pt idx="14">
                  <c:v>5.2060450034786871</c:v>
                </c:pt>
                <c:pt idx="15">
                  <c:v>5.4831788277240188</c:v>
                </c:pt>
                <c:pt idx="16">
                  <c:v>5.7722552409209396</c:v>
                </c:pt>
                <c:pt idx="17">
                  <c:v>6.0737413779647236</c:v>
                </c:pt>
                <c:pt idx="18">
                  <c:v>6.3881216535143057</c:v>
                </c:pt>
                <c:pt idx="19">
                  <c:v>6.7158983783566946</c:v>
                </c:pt>
                <c:pt idx="20">
                  <c:v>7.0575923972014643</c:v>
                </c:pt>
                <c:pt idx="21">
                  <c:v>7.4137437486363993</c:v>
                </c:pt>
                <c:pt idx="22">
                  <c:v>7.7849123479999491</c:v>
                </c:pt>
                <c:pt idx="23">
                  <c:v>8.171678693951538</c:v>
                </c:pt>
                <c:pt idx="24">
                  <c:v>8.5746445995470246</c:v>
                </c:pt>
                <c:pt idx="25">
                  <c:v>8.9944339486536826</c:v>
                </c:pt>
                <c:pt idx="26">
                  <c:v>9.4316934785671478</c:v>
                </c:pt>
                <c:pt idx="27">
                  <c:v>9.8870935897216334</c:v>
                </c:pt>
                <c:pt idx="28">
                  <c:v>10.361329183414679</c:v>
                </c:pt>
              </c:numCache>
            </c:numRef>
          </c:yVal>
          <c:smooth val="1"/>
          <c:extLst>
            <c:ext xmlns:c16="http://schemas.microsoft.com/office/drawing/2014/chart" uri="{C3380CC4-5D6E-409C-BE32-E72D297353CC}">
              <c16:uniqueId val="{00000002-06D6-4D7D-A8B2-8432C2642ADE}"/>
            </c:ext>
          </c:extLst>
        </c:ser>
        <c:ser>
          <c:idx val="3"/>
          <c:order val="3"/>
          <c:tx>
            <c:strRef>
              <c:f>'Price Charts'!$S$38</c:f>
              <c:strCache>
                <c:ptCount val="1"/>
                <c:pt idx="0">
                  <c:v>Base - 1.5%/y</c:v>
                </c:pt>
              </c:strCache>
            </c:strRef>
          </c:tx>
          <c:marker>
            <c:symbol val="none"/>
          </c:marker>
          <c:xVal>
            <c:numRef>
              <c:f>'Price Charts'!$O$39:$O$67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Charts'!$S$39:$S$67</c:f>
              <c:numCache>
                <c:formatCode>0.00</c:formatCode>
                <c:ptCount val="29"/>
                <c:pt idx="0">
                  <c:v>2</c:v>
                </c:pt>
                <c:pt idx="1">
                  <c:v>3.9</c:v>
                </c:pt>
                <c:pt idx="2">
                  <c:v>6.4</c:v>
                </c:pt>
                <c:pt idx="3">
                  <c:v>2.75</c:v>
                </c:pt>
                <c:pt idx="4">
                  <c:v>3</c:v>
                </c:pt>
                <c:pt idx="5">
                  <c:v>3.0449999999999999</c:v>
                </c:pt>
                <c:pt idx="6">
                  <c:v>3.092025</c:v>
                </c:pt>
                <c:pt idx="7">
                  <c:v>3.1411256249999999</c:v>
                </c:pt>
                <c:pt idx="8">
                  <c:v>3.1923541706250003</c:v>
                </c:pt>
                <c:pt idx="9">
                  <c:v>3.2457646509656253</c:v>
                </c:pt>
                <c:pt idx="10">
                  <c:v>3.301412847888141</c:v>
                </c:pt>
                <c:pt idx="11">
                  <c:v>3.3593563618574289</c:v>
                </c:pt>
                <c:pt idx="12">
                  <c:v>3.4196546643178056</c:v>
                </c:pt>
                <c:pt idx="13">
                  <c:v>3.4823691516779238</c:v>
                </c:pt>
                <c:pt idx="14">
                  <c:v>3.5475632009473874</c:v>
                </c:pt>
                <c:pt idx="15">
                  <c:v>3.6153022270741473</c:v>
                </c:pt>
                <c:pt idx="16">
                  <c:v>3.6856537420332347</c:v>
                </c:pt>
                <c:pt idx="17">
                  <c:v>3.7586874157188919</c:v>
                </c:pt>
                <c:pt idx="18">
                  <c:v>3.8344751386937492</c:v>
                </c:pt>
                <c:pt idx="19">
                  <c:v>3.9130910868503026</c:v>
                </c:pt>
                <c:pt idx="20">
                  <c:v>3.9946117880416168</c:v>
                </c:pt>
                <c:pt idx="21">
                  <c:v>4.0791161907398834</c:v>
                </c:pt>
                <c:pt idx="22">
                  <c:v>4.1666857347832433</c:v>
                </c:pt>
                <c:pt idx="23">
                  <c:v>4.2574044242730862</c:v>
                </c:pt>
                <c:pt idx="24">
                  <c:v>4.351358902685929</c:v>
                </c:pt>
                <c:pt idx="25">
                  <c:v>4.4486385302658871</c:v>
                </c:pt>
                <c:pt idx="26">
                  <c:v>4.5493354637657539</c:v>
                </c:pt>
                <c:pt idx="27">
                  <c:v>4.6535447386067377</c:v>
                </c:pt>
                <c:pt idx="28">
                  <c:v>4.7613643535290313</c:v>
                </c:pt>
              </c:numCache>
            </c:numRef>
          </c:yVal>
          <c:smooth val="1"/>
          <c:extLst>
            <c:ext xmlns:c16="http://schemas.microsoft.com/office/drawing/2014/chart" uri="{C3380CC4-5D6E-409C-BE32-E72D297353CC}">
              <c16:uniqueId val="{00000003-06D6-4D7D-A8B2-8432C2642ADE}"/>
            </c:ext>
          </c:extLst>
        </c:ser>
        <c:ser>
          <c:idx val="4"/>
          <c:order val="4"/>
          <c:tx>
            <c:strRef>
              <c:f>'Price Charts'!$T$38</c:f>
              <c:strCache>
                <c:ptCount val="1"/>
                <c:pt idx="0">
                  <c:v>Flat Real</c:v>
                </c:pt>
              </c:strCache>
            </c:strRef>
          </c:tx>
          <c:marker>
            <c:symbol val="none"/>
          </c:marker>
          <c:xVal>
            <c:numRef>
              <c:f>'Price Charts'!$O$39:$O$67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Charts'!$T$39:$T$67</c:f>
              <c:numCache>
                <c:formatCode>0.00</c:formatCode>
                <c:ptCount val="29"/>
                <c:pt idx="0">
                  <c:v>2</c:v>
                </c:pt>
                <c:pt idx="1">
                  <c:v>3.9</c:v>
                </c:pt>
                <c:pt idx="2">
                  <c:v>6.4</c:v>
                </c:pt>
                <c:pt idx="3">
                  <c:v>2.75</c:v>
                </c:pt>
                <c:pt idx="4">
                  <c:v>2.8187499999999996</c:v>
                </c:pt>
                <c:pt idx="5">
                  <c:v>2.8892187499999995</c:v>
                </c:pt>
                <c:pt idx="6">
                  <c:v>2.9614492187499994</c:v>
                </c:pt>
                <c:pt idx="7">
                  <c:v>3.0354854492187493</c:v>
                </c:pt>
                <c:pt idx="8">
                  <c:v>3.1113725854492178</c:v>
                </c:pt>
                <c:pt idx="9">
                  <c:v>3.1891569000854481</c:v>
                </c:pt>
                <c:pt idx="10">
                  <c:v>3.2688858225875839</c:v>
                </c:pt>
                <c:pt idx="11">
                  <c:v>3.3506079681522731</c:v>
                </c:pt>
                <c:pt idx="12">
                  <c:v>3.4343731673560796</c:v>
                </c:pt>
                <c:pt idx="13">
                  <c:v>3.5202324965399812</c:v>
                </c:pt>
                <c:pt idx="14">
                  <c:v>3.6082383089534802</c:v>
                </c:pt>
                <c:pt idx="15">
                  <c:v>3.698444266677317</c:v>
                </c:pt>
                <c:pt idx="16">
                  <c:v>3.7909053733442497</c:v>
                </c:pt>
                <c:pt idx="17">
                  <c:v>3.8856780076778556</c:v>
                </c:pt>
                <c:pt idx="18">
                  <c:v>3.9828199578698018</c:v>
                </c:pt>
                <c:pt idx="19">
                  <c:v>4.0823904568165466</c:v>
                </c:pt>
                <c:pt idx="20">
                  <c:v>4.1844502182369601</c:v>
                </c:pt>
                <c:pt idx="21">
                  <c:v>4.2890614736928834</c:v>
                </c:pt>
                <c:pt idx="22">
                  <c:v>4.3962880105352049</c:v>
                </c:pt>
                <c:pt idx="23">
                  <c:v>4.5061952107985848</c:v>
                </c:pt>
                <c:pt idx="24">
                  <c:v>4.6188500910685493</c:v>
                </c:pt>
                <c:pt idx="25">
                  <c:v>4.7343213433452629</c:v>
                </c:pt>
                <c:pt idx="26">
                  <c:v>4.8526793769288936</c:v>
                </c:pt>
                <c:pt idx="27">
                  <c:v>4.9739963613521159</c:v>
                </c:pt>
                <c:pt idx="28">
                  <c:v>5.0983462703859184</c:v>
                </c:pt>
              </c:numCache>
            </c:numRef>
          </c:yVal>
          <c:smooth val="1"/>
          <c:extLst>
            <c:ext xmlns:c16="http://schemas.microsoft.com/office/drawing/2014/chart" uri="{C3380CC4-5D6E-409C-BE32-E72D297353CC}">
              <c16:uniqueId val="{00000004-06D6-4D7D-A8B2-8432C2642ADE}"/>
            </c:ext>
          </c:extLst>
        </c:ser>
        <c:dLbls>
          <c:showLegendKey val="0"/>
          <c:showVal val="0"/>
          <c:showCatName val="0"/>
          <c:showSerName val="0"/>
          <c:showPercent val="0"/>
          <c:showBubbleSize val="0"/>
        </c:dLbls>
        <c:axId val="-1765498704"/>
        <c:axId val="-1765498160"/>
      </c:scatterChart>
      <c:valAx>
        <c:axId val="-1765498704"/>
        <c:scaling>
          <c:orientation val="minMax"/>
          <c:min val="202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5498160"/>
        <c:crosses val="autoZero"/>
        <c:crossBetween val="midCat"/>
      </c:valAx>
      <c:valAx>
        <c:axId val="-1765498160"/>
        <c:scaling>
          <c:orientation val="minMax"/>
        </c:scaling>
        <c:delete val="0"/>
        <c:axPos val="l"/>
        <c:majorGridlines/>
        <c:numFmt formatCode="0.00" sourceLinked="1"/>
        <c:majorTickMark val="out"/>
        <c:minorTickMark val="none"/>
        <c:tickLblPos val="nextTo"/>
        <c:crossAx val="-1765498704"/>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'Economic Assumptions'!$J$5:$J$7</c:f>
          <c:strCache>
            <c:ptCount val="3"/>
            <c:pt idx="0">
              <c:v>Real HH Gas Price US$2026 / MMBTU</c:v>
            </c:pt>
          </c:strCache>
        </c:strRef>
      </c:tx>
      <c:overlay val="0"/>
      <c:txPr>
        <a:bodyPr/>
        <a:lstStyle/>
        <a:p>
          <a:pPr>
            <a:defRPr sz="1400"/>
          </a:pPr>
          <a:endParaRPr lang="en-US"/>
        </a:p>
      </c:txPr>
    </c:title>
    <c:autoTitleDeleted val="0"/>
    <c:plotArea>
      <c:layout/>
      <c:scatterChart>
        <c:scatterStyle val="smoothMarker"/>
        <c:varyColors val="0"/>
        <c:ser>
          <c:idx val="0"/>
          <c:order val="0"/>
          <c:tx>
            <c:strRef>
              <c:f>'Price Charts'!$W$38</c:f>
              <c:strCache>
                <c:ptCount val="1"/>
                <c:pt idx="0">
                  <c:v>Base</c:v>
                </c:pt>
              </c:strCache>
            </c:strRef>
          </c:tx>
          <c:marker>
            <c:symbol val="none"/>
          </c:marker>
          <c:xVal>
            <c:numRef>
              <c:f>'Price Charts'!$V$39:$V$67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Charts'!$W$39:$W$67</c:f>
              <c:numCache>
                <c:formatCode>0.00</c:formatCode>
                <c:ptCount val="29"/>
                <c:pt idx="0">
                  <c:v>2.6452101071415952</c:v>
                </c:pt>
                <c:pt idx="1">
                  <c:v>4.9837291873682235</c:v>
                </c:pt>
                <c:pt idx="2">
                  <c:v>7.8262463008604177</c:v>
                </c:pt>
                <c:pt idx="3">
                  <c:v>3.1428413153280004</c:v>
                </c:pt>
                <c:pt idx="4">
                  <c:v>3.2467368959999998</c:v>
                </c:pt>
                <c:pt idx="5">
                  <c:v>3.2007456000000003</c:v>
                </c:pt>
                <c:pt idx="6">
                  <c:v>3.1827000000000001</c:v>
                </c:pt>
                <c:pt idx="7">
                  <c:v>3.1827000000000001</c:v>
                </c:pt>
                <c:pt idx="8">
                  <c:v>3.1827000000000001</c:v>
                </c:pt>
                <c:pt idx="9">
                  <c:v>3.1827000000000001</c:v>
                </c:pt>
                <c:pt idx="10">
                  <c:v>3.1827000000000001</c:v>
                </c:pt>
                <c:pt idx="11">
                  <c:v>3.1827000000000001</c:v>
                </c:pt>
                <c:pt idx="12">
                  <c:v>3.1826999999999996</c:v>
                </c:pt>
                <c:pt idx="13">
                  <c:v>3.1826999999999996</c:v>
                </c:pt>
                <c:pt idx="14">
                  <c:v>3.1827000000000001</c:v>
                </c:pt>
                <c:pt idx="15">
                  <c:v>3.1827000000000001</c:v>
                </c:pt>
                <c:pt idx="16">
                  <c:v>3.1826999999999996</c:v>
                </c:pt>
                <c:pt idx="17">
                  <c:v>3.1826999999999996</c:v>
                </c:pt>
                <c:pt idx="18">
                  <c:v>3.1826999999999992</c:v>
                </c:pt>
                <c:pt idx="19">
                  <c:v>3.1826999999999992</c:v>
                </c:pt>
                <c:pt idx="20">
                  <c:v>3.1826999999999992</c:v>
                </c:pt>
                <c:pt idx="21">
                  <c:v>3.1826999999999992</c:v>
                </c:pt>
                <c:pt idx="22">
                  <c:v>3.1826999999999996</c:v>
                </c:pt>
                <c:pt idx="23">
                  <c:v>3.1826999999999996</c:v>
                </c:pt>
                <c:pt idx="24">
                  <c:v>3.1826999999999996</c:v>
                </c:pt>
                <c:pt idx="25">
                  <c:v>3.1826999999999996</c:v>
                </c:pt>
                <c:pt idx="26">
                  <c:v>3.1827000000000001</c:v>
                </c:pt>
                <c:pt idx="27">
                  <c:v>3.1827000000000001</c:v>
                </c:pt>
                <c:pt idx="28">
                  <c:v>3.1827000000000005</c:v>
                </c:pt>
              </c:numCache>
            </c:numRef>
          </c:yVal>
          <c:smooth val="1"/>
          <c:extLst>
            <c:ext xmlns:c16="http://schemas.microsoft.com/office/drawing/2014/chart" uri="{C3380CC4-5D6E-409C-BE32-E72D297353CC}">
              <c16:uniqueId val="{00000000-8CF2-41DA-828B-0A10B0127F05}"/>
            </c:ext>
          </c:extLst>
        </c:ser>
        <c:ser>
          <c:idx val="1"/>
          <c:order val="1"/>
          <c:tx>
            <c:strRef>
              <c:f>'Price Charts'!$X$38</c:f>
              <c:strCache>
                <c:ptCount val="1"/>
                <c:pt idx="0">
                  <c:v>High Inflation</c:v>
                </c:pt>
              </c:strCache>
            </c:strRef>
          </c:tx>
          <c:marker>
            <c:symbol val="none"/>
          </c:marker>
          <c:xVal>
            <c:numRef>
              <c:f>'Price Charts'!$V$39:$V$67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Charts'!$X$39:$X$67</c:f>
              <c:numCache>
                <c:formatCode>0.00</c:formatCode>
                <c:ptCount val="29"/>
                <c:pt idx="0">
                  <c:v>2.7465966025744146</c:v>
                </c:pt>
                <c:pt idx="1">
                  <c:v>5.1747472222416508</c:v>
                </c:pt>
                <c:pt idx="2">
                  <c:v>8.1262132799280007</c:v>
                </c:pt>
                <c:pt idx="3">
                  <c:v>3.2633011857187504</c:v>
                </c:pt>
                <c:pt idx="4">
                  <c:v>3.3426900750000001</c:v>
                </c:pt>
                <c:pt idx="5">
                  <c:v>3.2526885000000001</c:v>
                </c:pt>
                <c:pt idx="6">
                  <c:v>3.1827000000000001</c:v>
                </c:pt>
                <c:pt idx="7">
                  <c:v>3.1440962972589466</c:v>
                </c:pt>
                <c:pt idx="8">
                  <c:v>3.1187170559430668</c:v>
                </c:pt>
                <c:pt idx="9">
                  <c:v>3.1036507899723276</c:v>
                </c:pt>
                <c:pt idx="10">
                  <c:v>3.0886573078951671</c:v>
                </c:pt>
                <c:pt idx="11">
                  <c:v>3.0737362580985721</c:v>
                </c:pt>
                <c:pt idx="12">
                  <c:v>3.0588872906681446</c:v>
                </c:pt>
                <c:pt idx="13">
                  <c:v>3.0441100573798927</c:v>
                </c:pt>
                <c:pt idx="14">
                  <c:v>3.0294042116920674</c:v>
                </c:pt>
                <c:pt idx="15">
                  <c:v>3.0147694087370334</c:v>
                </c:pt>
                <c:pt idx="16">
                  <c:v>3.000205305313183</c:v>
                </c:pt>
                <c:pt idx="17">
                  <c:v>2.9857115598768877</c:v>
                </c:pt>
                <c:pt idx="18">
                  <c:v>2.9712878325344874</c:v>
                </c:pt>
                <c:pt idx="19">
                  <c:v>2.9569337850343209</c:v>
                </c:pt>
                <c:pt idx="20">
                  <c:v>2.9426490807587933</c:v>
                </c:pt>
                <c:pt idx="21">
                  <c:v>2.928433384716481</c:v>
                </c:pt>
                <c:pt idx="22">
                  <c:v>2.9142863635342757</c:v>
                </c:pt>
                <c:pt idx="23">
                  <c:v>2.9002076854495695</c:v>
                </c:pt>
                <c:pt idx="24">
                  <c:v>2.8861970203024705</c:v>
                </c:pt>
                <c:pt idx="25">
                  <c:v>2.8722540395280629</c:v>
                </c:pt>
                <c:pt idx="26">
                  <c:v>2.8583784161487005</c:v>
                </c:pt>
                <c:pt idx="27">
                  <c:v>2.84456982476634</c:v>
                </c:pt>
                <c:pt idx="28">
                  <c:v>2.8308279415549089</c:v>
                </c:pt>
              </c:numCache>
            </c:numRef>
          </c:yVal>
          <c:smooth val="1"/>
          <c:extLst>
            <c:ext xmlns:c16="http://schemas.microsoft.com/office/drawing/2014/chart" uri="{C3380CC4-5D6E-409C-BE32-E72D297353CC}">
              <c16:uniqueId val="{00000001-8CF2-41DA-828B-0A10B0127F05}"/>
            </c:ext>
          </c:extLst>
        </c:ser>
        <c:ser>
          <c:idx val="2"/>
          <c:order val="2"/>
          <c:tx>
            <c:strRef>
              <c:f>'Price Charts'!$Y$38</c:f>
              <c:strCache>
                <c:ptCount val="1"/>
                <c:pt idx="0">
                  <c:v>Base + 3%/y</c:v>
                </c:pt>
              </c:strCache>
            </c:strRef>
          </c:tx>
          <c:marker>
            <c:symbol val="none"/>
          </c:marker>
          <c:xVal>
            <c:numRef>
              <c:f>'Price Charts'!$V$39:$V$67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Charts'!$Y$39:$Y$67</c:f>
              <c:numCache>
                <c:formatCode>0.00</c:formatCode>
                <c:ptCount val="29"/>
                <c:pt idx="0">
                  <c:v>2.3193868364257804</c:v>
                </c:pt>
                <c:pt idx="1">
                  <c:v>4.4124920302734356</c:v>
                </c:pt>
                <c:pt idx="2">
                  <c:v>7.064402499999999</c:v>
                </c:pt>
                <c:pt idx="3">
                  <c:v>2.9614492187499994</c:v>
                </c:pt>
                <c:pt idx="4">
                  <c:v>3.1518749999999995</c:v>
                </c:pt>
                <c:pt idx="5">
                  <c:v>3.2594999999999996</c:v>
                </c:pt>
                <c:pt idx="6">
                  <c:v>3.3681000000000001</c:v>
                </c:pt>
                <c:pt idx="7">
                  <c:v>3.477681951219513</c:v>
                </c:pt>
                <c:pt idx="8">
                  <c:v>3.5882528494943497</c:v>
                </c:pt>
                <c:pt idx="9">
                  <c:v>3.6998197355464968</c:v>
                </c:pt>
                <c:pt idx="10">
                  <c:v>3.8123896952555607</c:v>
                </c:pt>
                <c:pt idx="11">
                  <c:v>3.92596985993179</c:v>
                </c:pt>
                <c:pt idx="12">
                  <c:v>4.0405674065906956</c:v>
                </c:pt>
                <c:pt idx="13">
                  <c:v>4.1561895582292623</c:v>
                </c:pt>
                <c:pt idx="14">
                  <c:v>4.2728435841037653</c:v>
                </c:pt>
                <c:pt idx="15">
                  <c:v>4.3905368000092091</c:v>
                </c:pt>
                <c:pt idx="16">
                  <c:v>4.5092765685603915</c:v>
                </c:pt>
                <c:pt idx="17">
                  <c:v>4.6290702994745949</c:v>
                </c:pt>
                <c:pt idx="18">
                  <c:v>4.7499254498559313</c:v>
                </c:pt>
                <c:pt idx="19">
                  <c:v>4.8718495244813331</c:v>
                </c:pt>
                <c:pt idx="20">
                  <c:v>4.9948500760882126</c:v>
                </c:pt>
                <c:pt idx="21">
                  <c:v>5.1189347056637855</c:v>
                </c:pt>
                <c:pt idx="22">
                  <c:v>5.2441110627360841</c:v>
                </c:pt>
                <c:pt idx="23">
                  <c:v>5.3703868456666557</c:v>
                </c:pt>
                <c:pt idx="24">
                  <c:v>5.4977698019449708</c:v>
                </c:pt>
                <c:pt idx="25">
                  <c:v>5.6262677284845193</c:v>
                </c:pt>
                <c:pt idx="26">
                  <c:v>5.7558884719206604</c:v>
                </c:pt>
                <c:pt idx="27">
                  <c:v>5.8866399289101716</c:v>
                </c:pt>
                <c:pt idx="28">
                  <c:v>6.0185300464325513</c:v>
                </c:pt>
              </c:numCache>
            </c:numRef>
          </c:yVal>
          <c:smooth val="1"/>
          <c:extLst>
            <c:ext xmlns:c16="http://schemas.microsoft.com/office/drawing/2014/chart" uri="{C3380CC4-5D6E-409C-BE32-E72D297353CC}">
              <c16:uniqueId val="{00000002-8CF2-41DA-828B-0A10B0127F05}"/>
            </c:ext>
          </c:extLst>
        </c:ser>
        <c:ser>
          <c:idx val="3"/>
          <c:order val="3"/>
          <c:tx>
            <c:strRef>
              <c:f>'Price Charts'!$Z$38</c:f>
              <c:strCache>
                <c:ptCount val="1"/>
                <c:pt idx="0">
                  <c:v>Base - 1.5%/y</c:v>
                </c:pt>
              </c:strCache>
            </c:strRef>
          </c:tx>
          <c:marker>
            <c:symbol val="none"/>
          </c:marker>
          <c:xVal>
            <c:numRef>
              <c:f>'Price Charts'!$V$39:$V$67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Charts'!$Z$39:$Z$67</c:f>
              <c:numCache>
                <c:formatCode>0.00</c:formatCode>
                <c:ptCount val="29"/>
                <c:pt idx="0">
                  <c:v>2.3193868364257804</c:v>
                </c:pt>
                <c:pt idx="1">
                  <c:v>4.4124920302734356</c:v>
                </c:pt>
                <c:pt idx="2">
                  <c:v>7.064402499999999</c:v>
                </c:pt>
                <c:pt idx="3">
                  <c:v>2.9614492187499994</c:v>
                </c:pt>
                <c:pt idx="4">
                  <c:v>3.1518749999999995</c:v>
                </c:pt>
                <c:pt idx="5">
                  <c:v>3.1211249999999997</c:v>
                </c:pt>
                <c:pt idx="6">
                  <c:v>3.092025</c:v>
                </c:pt>
                <c:pt idx="7">
                  <c:v>3.0645128048780488</c:v>
                </c:pt>
                <c:pt idx="8">
                  <c:v>3.0385286573468182</c:v>
                </c:pt>
                <c:pt idx="9">
                  <c:v>3.0140151428708242</c:v>
                </c:pt>
                <c:pt idx="10">
                  <c:v>2.9909170982944575</c:v>
                </c:pt>
                <c:pt idx="11">
                  <c:v>2.969181524035998</c:v>
                </c:pt>
                <c:pt idx="12">
                  <c:v>2.9487574997084658</c:v>
                </c:pt>
                <c:pt idx="13">
                  <c:v>2.9295961030335764</c:v>
                </c:pt>
                <c:pt idx="14">
                  <c:v>2.9116503319202849</c:v>
                </c:pt>
                <c:pt idx="15">
                  <c:v>2.8948750295844312</c:v>
                </c:pt>
                <c:pt idx="16">
                  <c:v>2.8792268125908094</c:v>
                </c:pt>
                <c:pt idx="17">
                  <c:v>2.8646640017036131</c:v>
                </c:pt>
                <c:pt idx="18">
                  <c:v>2.8511465554356636</c:v>
                </c:pt>
                <c:pt idx="19">
                  <c:v>2.8386360061911087</c:v>
                </c:pt>
                <c:pt idx="20">
                  <c:v>2.8270953989003766</c:v>
                </c:pt>
                <c:pt idx="21">
                  <c:v>2.8164892320501385</c:v>
                </c:pt>
                <c:pt idx="22">
                  <c:v>2.8067834010148034</c:v>
                </c:pt>
                <c:pt idx="23">
                  <c:v>2.797945143599744</c:v>
                </c:pt>
                <c:pt idx="24">
                  <c:v>2.7899429877099373</c:v>
                </c:pt>
                <c:pt idx="25">
                  <c:v>2.782746701061074</c:v>
                </c:pt>
                <c:pt idx="26">
                  <c:v>2.7763272428534438</c:v>
                </c:pt>
                <c:pt idx="27">
                  <c:v>2.7706567173319869</c:v>
                </c:pt>
                <c:pt idx="28">
                  <c:v>2.7657083291589206</c:v>
                </c:pt>
              </c:numCache>
            </c:numRef>
          </c:yVal>
          <c:smooth val="1"/>
          <c:extLst>
            <c:ext xmlns:c16="http://schemas.microsoft.com/office/drawing/2014/chart" uri="{C3380CC4-5D6E-409C-BE32-E72D297353CC}">
              <c16:uniqueId val="{00000003-8CF2-41DA-828B-0A10B0127F05}"/>
            </c:ext>
          </c:extLst>
        </c:ser>
        <c:ser>
          <c:idx val="4"/>
          <c:order val="4"/>
          <c:tx>
            <c:strRef>
              <c:f>'Price Charts'!$AA$38</c:f>
              <c:strCache>
                <c:ptCount val="1"/>
                <c:pt idx="0">
                  <c:v>Flat Real</c:v>
                </c:pt>
              </c:strCache>
            </c:strRef>
          </c:tx>
          <c:marker>
            <c:symbol val="none"/>
          </c:marker>
          <c:xVal>
            <c:numRef>
              <c:f>'Price Charts'!$V$39:$V$67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Charts'!$AA$39:$AA$67</c:f>
              <c:numCache>
                <c:formatCode>0.00</c:formatCode>
                <c:ptCount val="29"/>
                <c:pt idx="0">
                  <c:v>2.3193868364257804</c:v>
                </c:pt>
                <c:pt idx="1">
                  <c:v>4.4124920302734356</c:v>
                </c:pt>
                <c:pt idx="2">
                  <c:v>7.064402499999999</c:v>
                </c:pt>
                <c:pt idx="3">
                  <c:v>2.9614492187499994</c:v>
                </c:pt>
                <c:pt idx="4">
                  <c:v>2.9614492187499994</c:v>
                </c:pt>
                <c:pt idx="5">
                  <c:v>2.9614492187499994</c:v>
                </c:pt>
                <c:pt idx="6">
                  <c:v>2.9614492187499994</c:v>
                </c:pt>
                <c:pt idx="7">
                  <c:v>2.9614492187499994</c:v>
                </c:pt>
                <c:pt idx="8">
                  <c:v>2.9614492187499994</c:v>
                </c:pt>
                <c:pt idx="9">
                  <c:v>2.9614492187499999</c:v>
                </c:pt>
                <c:pt idx="10">
                  <c:v>2.9614492187499999</c:v>
                </c:pt>
                <c:pt idx="11">
                  <c:v>2.9614492187499999</c:v>
                </c:pt>
                <c:pt idx="12">
                  <c:v>2.9614492187499999</c:v>
                </c:pt>
                <c:pt idx="13">
                  <c:v>2.9614492187499999</c:v>
                </c:pt>
                <c:pt idx="14">
                  <c:v>2.9614492187499994</c:v>
                </c:pt>
                <c:pt idx="15">
                  <c:v>2.9614492187499999</c:v>
                </c:pt>
                <c:pt idx="16">
                  <c:v>2.9614492187499999</c:v>
                </c:pt>
                <c:pt idx="17">
                  <c:v>2.9614492187499999</c:v>
                </c:pt>
                <c:pt idx="18">
                  <c:v>2.9614492187499999</c:v>
                </c:pt>
                <c:pt idx="19">
                  <c:v>2.9614492187500003</c:v>
                </c:pt>
                <c:pt idx="20">
                  <c:v>2.9614492187500003</c:v>
                </c:pt>
                <c:pt idx="21">
                  <c:v>2.9614492187500003</c:v>
                </c:pt>
                <c:pt idx="22">
                  <c:v>2.9614492187499999</c:v>
                </c:pt>
                <c:pt idx="23">
                  <c:v>2.9614492187500003</c:v>
                </c:pt>
                <c:pt idx="24">
                  <c:v>2.9614492187500008</c:v>
                </c:pt>
                <c:pt idx="25">
                  <c:v>2.9614492187500008</c:v>
                </c:pt>
                <c:pt idx="26">
                  <c:v>2.9614492187500003</c:v>
                </c:pt>
                <c:pt idx="27">
                  <c:v>2.9614492187500008</c:v>
                </c:pt>
                <c:pt idx="28">
                  <c:v>2.9614492187500008</c:v>
                </c:pt>
              </c:numCache>
            </c:numRef>
          </c:yVal>
          <c:smooth val="1"/>
          <c:extLst>
            <c:ext xmlns:c16="http://schemas.microsoft.com/office/drawing/2014/chart" uri="{C3380CC4-5D6E-409C-BE32-E72D297353CC}">
              <c16:uniqueId val="{00000004-8CF2-41DA-828B-0A10B0127F05}"/>
            </c:ext>
          </c:extLst>
        </c:ser>
        <c:dLbls>
          <c:showLegendKey val="0"/>
          <c:showVal val="0"/>
          <c:showCatName val="0"/>
          <c:showSerName val="0"/>
          <c:showPercent val="0"/>
          <c:showBubbleSize val="0"/>
        </c:dLbls>
        <c:axId val="-1765493808"/>
        <c:axId val="-1765497072"/>
      </c:scatterChart>
      <c:valAx>
        <c:axId val="-1765493808"/>
        <c:scaling>
          <c:orientation val="minMax"/>
          <c:min val="202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5497072"/>
        <c:crosses val="autoZero"/>
        <c:crossBetween val="midCat"/>
      </c:valAx>
      <c:valAx>
        <c:axId val="-1765497072"/>
        <c:scaling>
          <c:orientation val="minMax"/>
        </c:scaling>
        <c:delete val="0"/>
        <c:axPos val="l"/>
        <c:majorGridlines/>
        <c:numFmt formatCode="0.00" sourceLinked="1"/>
        <c:majorTickMark val="out"/>
        <c:minorTickMark val="none"/>
        <c:tickLblPos val="nextTo"/>
        <c:crossAx val="-1765493808"/>
        <c:crosses val="autoZero"/>
        <c:crossBetween val="midCat"/>
      </c:valAx>
      <c:spPr>
        <a:solidFill>
          <a:schemeClr val="bg1">
            <a:lumMod val="95000"/>
          </a:schemeClr>
        </a:solidFill>
      </c:spPr>
    </c:plotArea>
    <c:legend>
      <c:legendPos val="b"/>
      <c:overlay val="0"/>
    </c:legend>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CashFlow!$F$100</c:f>
              <c:strCache>
                <c:ptCount val="1"/>
                <c:pt idx="0">
                  <c:v>Net Cash Flow</c:v>
                </c:pt>
              </c:strCache>
            </c:strRef>
          </c:tx>
          <c:spPr>
            <a:solidFill>
              <a:schemeClr val="accent4"/>
            </a:solidFill>
          </c:spPr>
          <c:invertIfNegative val="0"/>
          <c:cat>
            <c:numRef>
              <c:f>CashFlow!$G$99:$AF$99</c:f>
              <c:numCache>
                <c:formatCode>General</c:formatCode>
                <c:ptCount val="2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numCache>
            </c:numRef>
          </c:cat>
          <c:val>
            <c:numRef>
              <c:f>CashFlow!$G$100:$AF$100</c:f>
              <c:numCache>
                <c:formatCode>0.0</c:formatCode>
                <c:ptCount val="26"/>
                <c:pt idx="0">
                  <c:v>-9.6278000000000006</c:v>
                </c:pt>
                <c:pt idx="1">
                  <c:v>-74.852665618512248</c:v>
                </c:pt>
                <c:pt idx="2">
                  <c:v>-143.34600408396014</c:v>
                </c:pt>
                <c:pt idx="3">
                  <c:v>-221.40191068909044</c:v>
                </c:pt>
                <c:pt idx="4">
                  <c:v>-14.316016678088269</c:v>
                </c:pt>
                <c:pt idx="5">
                  <c:v>-2.4305764579831179</c:v>
                </c:pt>
                <c:pt idx="6">
                  <c:v>-472.39278561449589</c:v>
                </c:pt>
                <c:pt idx="7">
                  <c:v>-4284.4333489780383</c:v>
                </c:pt>
                <c:pt idx="8">
                  <c:v>-850.89997663107852</c:v>
                </c:pt>
                <c:pt idx="9">
                  <c:v>3167.5087241104284</c:v>
                </c:pt>
                <c:pt idx="10">
                  <c:v>3116.5480935741389</c:v>
                </c:pt>
                <c:pt idx="11">
                  <c:v>2799.8305478345637</c:v>
                </c:pt>
                <c:pt idx="12">
                  <c:v>2229.5777113024192</c:v>
                </c:pt>
                <c:pt idx="13">
                  <c:v>1880.9769526808609</c:v>
                </c:pt>
                <c:pt idx="14">
                  <c:v>1609.5884169162664</c:v>
                </c:pt>
                <c:pt idx="15">
                  <c:v>1393.1468541371353</c:v>
                </c:pt>
                <c:pt idx="16">
                  <c:v>1194.0171538477514</c:v>
                </c:pt>
                <c:pt idx="17">
                  <c:v>1033.8710896065306</c:v>
                </c:pt>
                <c:pt idx="18">
                  <c:v>880.1218135119359</c:v>
                </c:pt>
                <c:pt idx="19">
                  <c:v>756.43477045493592</c:v>
                </c:pt>
                <c:pt idx="20">
                  <c:v>641.86163558537373</c:v>
                </c:pt>
                <c:pt idx="21">
                  <c:v>548.90963218911406</c:v>
                </c:pt>
                <c:pt idx="22">
                  <c:v>459.19699010295926</c:v>
                </c:pt>
                <c:pt idx="23">
                  <c:v>386.37747537762345</c:v>
                </c:pt>
                <c:pt idx="24">
                  <c:v>318.65811114598785</c:v>
                </c:pt>
                <c:pt idx="25">
                  <c:v>263.15940951346931</c:v>
                </c:pt>
              </c:numCache>
            </c:numRef>
          </c:val>
          <c:extLst>
            <c:ext xmlns:c16="http://schemas.microsoft.com/office/drawing/2014/chart" uri="{C3380CC4-5D6E-409C-BE32-E72D297353CC}">
              <c16:uniqueId val="{00000000-BB04-4E44-8A4B-9131C66666C2}"/>
            </c:ext>
          </c:extLst>
        </c:ser>
        <c:ser>
          <c:idx val="1"/>
          <c:order val="1"/>
          <c:tx>
            <c:strRef>
              <c:f>CashFlow!$F$101</c:f>
              <c:strCache>
                <c:ptCount val="1"/>
                <c:pt idx="0">
                  <c:v>Royalty</c:v>
                </c:pt>
              </c:strCache>
            </c:strRef>
          </c:tx>
          <c:spPr>
            <a:solidFill>
              <a:srgbClr val="00B0F0"/>
            </a:solidFill>
          </c:spPr>
          <c:invertIfNegative val="0"/>
          <c:cat>
            <c:numRef>
              <c:f>CashFlow!$G$99:$AF$99</c:f>
              <c:numCache>
                <c:formatCode>General</c:formatCode>
                <c:ptCount val="2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numCache>
            </c:numRef>
          </c:cat>
          <c:val>
            <c:numRef>
              <c:f>CashFlow!$G$101:$AF$101</c:f>
              <c:numCache>
                <c:formatCode>0.0</c:formatCode>
                <c:ptCount val="26"/>
                <c:pt idx="0">
                  <c:v>0</c:v>
                </c:pt>
                <c:pt idx="1">
                  <c:v>0</c:v>
                </c:pt>
                <c:pt idx="2">
                  <c:v>0</c:v>
                </c:pt>
                <c:pt idx="3">
                  <c:v>0</c:v>
                </c:pt>
                <c:pt idx="4">
                  <c:v>0</c:v>
                </c:pt>
                <c:pt idx="5">
                  <c:v>0</c:v>
                </c:pt>
                <c:pt idx="6">
                  <c:v>0</c:v>
                </c:pt>
                <c:pt idx="7">
                  <c:v>0</c:v>
                </c:pt>
                <c:pt idx="8">
                  <c:v>50.578646861343543</c:v>
                </c:pt>
                <c:pt idx="9">
                  <c:v>89.493072318979443</c:v>
                </c:pt>
                <c:pt idx="10">
                  <c:v>120.65289127471428</c:v>
                </c:pt>
                <c:pt idx="11">
                  <c:v>609.82396350041972</c:v>
                </c:pt>
                <c:pt idx="12">
                  <c:v>1329.7431099090877</c:v>
                </c:pt>
                <c:pt idx="13">
                  <c:v>1290.5394014110461</c:v>
                </c:pt>
                <c:pt idx="14">
                  <c:v>1114.8532739194279</c:v>
                </c:pt>
                <c:pt idx="15">
                  <c:v>964.39679267099984</c:v>
                </c:pt>
                <c:pt idx="16">
                  <c:v>832.322425878638</c:v>
                </c:pt>
                <c:pt idx="17">
                  <c:v>718.45487090355675</c:v>
                </c:pt>
                <c:pt idx="18">
                  <c:v>614.09838245307242</c:v>
                </c:pt>
                <c:pt idx="19">
                  <c:v>524.52279778684158</c:v>
                </c:pt>
                <c:pt idx="20">
                  <c:v>445.70576333003038</c:v>
                </c:pt>
                <c:pt idx="21">
                  <c:v>377.54323415105779</c:v>
                </c:pt>
                <c:pt idx="22">
                  <c:v>314.92740795962493</c:v>
                </c:pt>
                <c:pt idx="23">
                  <c:v>260.95189185328769</c:v>
                </c:pt>
                <c:pt idx="24">
                  <c:v>213.25331588772886</c:v>
                </c:pt>
                <c:pt idx="25">
                  <c:v>171.76934438839942</c:v>
                </c:pt>
              </c:numCache>
            </c:numRef>
          </c:val>
          <c:extLst>
            <c:ext xmlns:c16="http://schemas.microsoft.com/office/drawing/2014/chart" uri="{C3380CC4-5D6E-409C-BE32-E72D297353CC}">
              <c16:uniqueId val="{00000001-BB04-4E44-8A4B-9131C66666C2}"/>
            </c:ext>
          </c:extLst>
        </c:ser>
        <c:ser>
          <c:idx val="2"/>
          <c:order val="2"/>
          <c:tx>
            <c:strRef>
              <c:f>CashFlow!$F$102</c:f>
              <c:strCache>
                <c:ptCount val="1"/>
                <c:pt idx="0">
                  <c:v>Provincial Income Tax</c:v>
                </c:pt>
              </c:strCache>
            </c:strRef>
          </c:tx>
          <c:spPr>
            <a:solidFill>
              <a:srgbClr val="FF0000"/>
            </a:solidFill>
          </c:spPr>
          <c:invertIfNegative val="0"/>
          <c:cat>
            <c:numRef>
              <c:f>CashFlow!$G$99:$AF$99</c:f>
              <c:numCache>
                <c:formatCode>General</c:formatCode>
                <c:ptCount val="2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numCache>
            </c:numRef>
          </c:cat>
          <c:val>
            <c:numRef>
              <c:f>CashFlow!$G$102:$AF$102</c:f>
              <c:numCache>
                <c:formatCode>0.0</c:formatCode>
                <c:ptCount val="26"/>
                <c:pt idx="0">
                  <c:v>0</c:v>
                </c:pt>
                <c:pt idx="1">
                  <c:v>0</c:v>
                </c:pt>
                <c:pt idx="2">
                  <c:v>0</c:v>
                </c:pt>
                <c:pt idx="3">
                  <c:v>0</c:v>
                </c:pt>
                <c:pt idx="4">
                  <c:v>0</c:v>
                </c:pt>
                <c:pt idx="5">
                  <c:v>0</c:v>
                </c:pt>
                <c:pt idx="6">
                  <c:v>0</c:v>
                </c:pt>
                <c:pt idx="7">
                  <c:v>0</c:v>
                </c:pt>
                <c:pt idx="8">
                  <c:v>59.480887453873827</c:v>
                </c:pt>
                <c:pt idx="9">
                  <c:v>313.99787395455098</c:v>
                </c:pt>
                <c:pt idx="10">
                  <c:v>385.34213376007438</c:v>
                </c:pt>
                <c:pt idx="11">
                  <c:v>378.76406047987467</c:v>
                </c:pt>
                <c:pt idx="12">
                  <c:v>311.4849182747563</c:v>
                </c:pt>
                <c:pt idx="13">
                  <c:v>273.03434110937957</c:v>
                </c:pt>
                <c:pt idx="14">
                  <c:v>244.88651585260595</c:v>
                </c:pt>
                <c:pt idx="15">
                  <c:v>218.68552637979252</c:v>
                </c:pt>
                <c:pt idx="16">
                  <c:v>193.86627729247425</c:v>
                </c:pt>
                <c:pt idx="17">
                  <c:v>171.28286424357981</c:v>
                </c:pt>
                <c:pt idx="18">
                  <c:v>149.32690208943083</c:v>
                </c:pt>
                <c:pt idx="19">
                  <c:v>129.86316635951107</c:v>
                </c:pt>
                <c:pt idx="20">
                  <c:v>112.20038480016592</c:v>
                </c:pt>
                <c:pt idx="21">
                  <c:v>96.576495694286734</c:v>
                </c:pt>
                <c:pt idx="22">
                  <c:v>81.853350873432603</c:v>
                </c:pt>
                <c:pt idx="23">
                  <c:v>68.983719278124113</c:v>
                </c:pt>
                <c:pt idx="24">
                  <c:v>57.456868797593323</c:v>
                </c:pt>
                <c:pt idx="25">
                  <c:v>47.335312929286268</c:v>
                </c:pt>
              </c:numCache>
            </c:numRef>
          </c:val>
          <c:extLst>
            <c:ext xmlns:c16="http://schemas.microsoft.com/office/drawing/2014/chart" uri="{C3380CC4-5D6E-409C-BE32-E72D297353CC}">
              <c16:uniqueId val="{00000002-BB04-4E44-8A4B-9131C66666C2}"/>
            </c:ext>
          </c:extLst>
        </c:ser>
        <c:ser>
          <c:idx val="3"/>
          <c:order val="3"/>
          <c:tx>
            <c:strRef>
              <c:f>CashFlow!$F$103</c:f>
              <c:strCache>
                <c:ptCount val="1"/>
                <c:pt idx="0">
                  <c:v>Federal Income Tax</c:v>
                </c:pt>
              </c:strCache>
            </c:strRef>
          </c:tx>
          <c:spPr>
            <a:solidFill>
              <a:srgbClr val="92D050"/>
            </a:solidFill>
          </c:spPr>
          <c:invertIfNegative val="0"/>
          <c:cat>
            <c:numRef>
              <c:f>CashFlow!$G$99:$AF$99</c:f>
              <c:numCache>
                <c:formatCode>General</c:formatCode>
                <c:ptCount val="26"/>
                <c:pt idx="0">
                  <c:v>2023</c:v>
                </c:pt>
                <c:pt idx="1">
                  <c:v>2024</c:v>
                </c:pt>
                <c:pt idx="2">
                  <c:v>2025</c:v>
                </c:pt>
                <c:pt idx="3">
                  <c:v>2026</c:v>
                </c:pt>
                <c:pt idx="4">
                  <c:v>2027</c:v>
                </c:pt>
                <c:pt idx="5">
                  <c:v>2028</c:v>
                </c:pt>
                <c:pt idx="6">
                  <c:v>2029</c:v>
                </c:pt>
                <c:pt idx="7">
                  <c:v>2030</c:v>
                </c:pt>
                <c:pt idx="8">
                  <c:v>2031</c:v>
                </c:pt>
                <c:pt idx="9">
                  <c:v>2032</c:v>
                </c:pt>
                <c:pt idx="10">
                  <c:v>2033</c:v>
                </c:pt>
                <c:pt idx="11">
                  <c:v>2034</c:v>
                </c:pt>
                <c:pt idx="12">
                  <c:v>2035</c:v>
                </c:pt>
                <c:pt idx="13">
                  <c:v>2036</c:v>
                </c:pt>
                <c:pt idx="14">
                  <c:v>2037</c:v>
                </c:pt>
                <c:pt idx="15">
                  <c:v>2038</c:v>
                </c:pt>
                <c:pt idx="16">
                  <c:v>2039</c:v>
                </c:pt>
                <c:pt idx="17">
                  <c:v>2040</c:v>
                </c:pt>
                <c:pt idx="18">
                  <c:v>2041</c:v>
                </c:pt>
                <c:pt idx="19">
                  <c:v>2042</c:v>
                </c:pt>
                <c:pt idx="20">
                  <c:v>2043</c:v>
                </c:pt>
                <c:pt idx="21">
                  <c:v>2044</c:v>
                </c:pt>
                <c:pt idx="22">
                  <c:v>2045</c:v>
                </c:pt>
                <c:pt idx="23">
                  <c:v>2046</c:v>
                </c:pt>
                <c:pt idx="24">
                  <c:v>2047</c:v>
                </c:pt>
                <c:pt idx="25">
                  <c:v>2048</c:v>
                </c:pt>
              </c:numCache>
            </c:numRef>
          </c:cat>
          <c:val>
            <c:numRef>
              <c:f>CashFlow!$G$103:$AF$103</c:f>
              <c:numCache>
                <c:formatCode>0.0</c:formatCode>
                <c:ptCount val="26"/>
                <c:pt idx="0">
                  <c:v>0</c:v>
                </c:pt>
                <c:pt idx="1">
                  <c:v>0</c:v>
                </c:pt>
                <c:pt idx="2">
                  <c:v>0</c:v>
                </c:pt>
                <c:pt idx="3">
                  <c:v>0</c:v>
                </c:pt>
                <c:pt idx="4">
                  <c:v>0</c:v>
                </c:pt>
                <c:pt idx="5">
                  <c:v>0</c:v>
                </c:pt>
                <c:pt idx="6">
                  <c:v>0</c:v>
                </c:pt>
                <c:pt idx="7">
                  <c:v>0</c:v>
                </c:pt>
                <c:pt idx="8">
                  <c:v>63.729522272007664</c:v>
                </c:pt>
                <c:pt idx="9">
                  <c:v>418.52461272649538</c:v>
                </c:pt>
                <c:pt idx="10">
                  <c:v>474.44031128861559</c:v>
                </c:pt>
                <c:pt idx="11">
                  <c:v>431.47436097961281</c:v>
                </c:pt>
                <c:pt idx="12">
                  <c:v>352.97563457204922</c:v>
                </c:pt>
                <c:pt idx="13">
                  <c:v>291.57470436759462</c:v>
                </c:pt>
                <c:pt idx="14">
                  <c:v>261.65684258345095</c:v>
                </c:pt>
                <c:pt idx="15">
                  <c:v>222.21966953920705</c:v>
                </c:pt>
                <c:pt idx="16">
                  <c:v>198.64917984115155</c:v>
                </c:pt>
                <c:pt idx="17">
                  <c:v>168.06003092829633</c:v>
                </c:pt>
                <c:pt idx="18">
                  <c:v>148.40011666773572</c:v>
                </c:pt>
                <c:pt idx="19">
                  <c:v>123.95025695077251</c:v>
                </c:pt>
                <c:pt idx="20">
                  <c:v>108.82306060293578</c:v>
                </c:pt>
                <c:pt idx="21">
                  <c:v>90.060509771644732</c:v>
                </c:pt>
                <c:pt idx="22">
                  <c:v>77.63928851021663</c:v>
                </c:pt>
                <c:pt idx="23">
                  <c:v>62.71264583913171</c:v>
                </c:pt>
                <c:pt idx="24">
                  <c:v>53.162069385420459</c:v>
                </c:pt>
                <c:pt idx="25">
                  <c:v>41.677559922993019</c:v>
                </c:pt>
              </c:numCache>
            </c:numRef>
          </c:val>
          <c:extLst>
            <c:ext xmlns:c16="http://schemas.microsoft.com/office/drawing/2014/chart" uri="{C3380CC4-5D6E-409C-BE32-E72D297353CC}">
              <c16:uniqueId val="{00000003-BB04-4E44-8A4B-9131C66666C2}"/>
            </c:ext>
          </c:extLst>
        </c:ser>
        <c:dLbls>
          <c:showLegendKey val="0"/>
          <c:showVal val="0"/>
          <c:showCatName val="0"/>
          <c:showSerName val="0"/>
          <c:showPercent val="0"/>
          <c:showBubbleSize val="0"/>
        </c:dLbls>
        <c:gapWidth val="72"/>
        <c:overlap val="100"/>
        <c:axId val="-1768293376"/>
        <c:axId val="-1768298816"/>
      </c:barChart>
      <c:catAx>
        <c:axId val="-1768293376"/>
        <c:scaling>
          <c:orientation val="minMax"/>
        </c:scaling>
        <c:delete val="0"/>
        <c:axPos val="b"/>
        <c:numFmt formatCode="General" sourceLinked="1"/>
        <c:majorTickMark val="out"/>
        <c:minorTickMark val="none"/>
        <c:tickLblPos val="low"/>
        <c:txPr>
          <a:bodyPr rot="0" vert="horz"/>
          <a:lstStyle/>
          <a:p>
            <a:pPr>
              <a:defRPr sz="1200" b="0" i="0" u="none" strike="noStrike" baseline="0">
                <a:solidFill>
                  <a:srgbClr val="000000"/>
                </a:solidFill>
                <a:latin typeface="Calibri"/>
                <a:ea typeface="Calibri"/>
                <a:cs typeface="Calibri"/>
              </a:defRPr>
            </a:pPr>
            <a:endParaRPr lang="en-US"/>
          </a:p>
        </c:txPr>
        <c:crossAx val="-1768298816"/>
        <c:crosses val="autoZero"/>
        <c:auto val="1"/>
        <c:lblAlgn val="ctr"/>
        <c:lblOffset val="100"/>
        <c:tickLblSkip val="2"/>
        <c:tickMarkSkip val="2"/>
        <c:noMultiLvlLbl val="0"/>
      </c:catAx>
      <c:valAx>
        <c:axId val="-1768298816"/>
        <c:scaling>
          <c:orientation val="minMax"/>
        </c:scaling>
        <c:delete val="0"/>
        <c:axPos val="l"/>
        <c:majorGridlines/>
        <c:numFmt formatCode="0.0" sourceLinked="1"/>
        <c:majorTickMark val="out"/>
        <c:minorTickMark val="none"/>
        <c:tickLblPos val="nextTo"/>
        <c:txPr>
          <a:bodyPr rot="0" vert="horz"/>
          <a:lstStyle/>
          <a:p>
            <a:pPr>
              <a:defRPr sz="1200" b="0" i="0" u="none" strike="noStrike" baseline="0">
                <a:solidFill>
                  <a:srgbClr val="000000"/>
                </a:solidFill>
                <a:latin typeface="Calibri"/>
                <a:ea typeface="Calibri"/>
                <a:cs typeface="Calibri"/>
              </a:defRPr>
            </a:pPr>
            <a:endParaRPr lang="en-US"/>
          </a:p>
        </c:txPr>
        <c:crossAx val="-1768293376"/>
        <c:crosses val="autoZero"/>
        <c:crossBetween val="between"/>
      </c:valAx>
      <c:spPr>
        <a:solidFill>
          <a:schemeClr val="bg2"/>
        </a:solidFill>
      </c:spPr>
    </c:plotArea>
    <c:legend>
      <c:legendPos val="tr"/>
      <c:layout>
        <c:manualLayout>
          <c:xMode val="edge"/>
          <c:yMode val="edge"/>
          <c:x val="0.74287499817524205"/>
          <c:y val="0.51227508326165117"/>
          <c:w val="0.24104180354939075"/>
          <c:h val="0.34078514863753617"/>
        </c:manualLayout>
      </c:layout>
      <c:overlay val="1"/>
      <c:spPr>
        <a:solidFill>
          <a:schemeClr val="bg2"/>
        </a:solidFill>
        <a:ln>
          <a:solidFill>
            <a:schemeClr val="tx1"/>
          </a:solidFill>
        </a:ln>
      </c:spPr>
      <c:txPr>
        <a:bodyPr/>
        <a:lstStyle/>
        <a:p>
          <a:pPr>
            <a:defRPr sz="11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IRR </a:t>
            </a:r>
          </a:p>
        </c:rich>
      </c:tx>
      <c:layout>
        <c:manualLayout>
          <c:xMode val="edge"/>
          <c:yMode val="edge"/>
          <c:x val="0.34594594594594597"/>
          <c:y val="3.1579063088318149E-2"/>
        </c:manualLayout>
      </c:layout>
      <c:overlay val="0"/>
    </c:title>
    <c:autoTitleDeleted val="0"/>
    <c:plotArea>
      <c:layout>
        <c:manualLayout>
          <c:layoutTarget val="inner"/>
          <c:xMode val="edge"/>
          <c:yMode val="edge"/>
          <c:x val="0.38738806902461509"/>
          <c:y val="0.24736842105263168"/>
          <c:w val="0.55855954138432817"/>
          <c:h val="0.7131578947368421"/>
        </c:manualLayout>
      </c:layout>
      <c:barChart>
        <c:barDir val="bar"/>
        <c:grouping val="stacked"/>
        <c:varyColors val="0"/>
        <c:ser>
          <c:idx val="0"/>
          <c:order val="0"/>
          <c:spPr>
            <a:no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Ranges'!$O$61:$O$67</c:f>
              <c:numCache>
                <c:formatCode>General</c:formatCode>
                <c:ptCount val="7"/>
                <c:pt idx="0">
                  <c:v>0.25653011890402827</c:v>
                </c:pt>
                <c:pt idx="1">
                  <c:v>0.20540798508872241</c:v>
                </c:pt>
                <c:pt idx="2">
                  <c:v>0.28503046881595745</c:v>
                </c:pt>
                <c:pt idx="3">
                  <c:v>0.28780431103894416</c:v>
                </c:pt>
                <c:pt idx="4">
                  <c:v>0.2339831552455402</c:v>
                </c:pt>
                <c:pt idx="5">
                  <c:v>0.27646626318185608</c:v>
                </c:pt>
                <c:pt idx="6">
                  <c:v>0.29234760916498281</c:v>
                </c:pt>
              </c:numCache>
            </c:numRef>
          </c:val>
          <c:extLst>
            <c:ext xmlns:c16="http://schemas.microsoft.com/office/drawing/2014/chart" uri="{C3380CC4-5D6E-409C-BE32-E72D297353CC}">
              <c16:uniqueId val="{00000000-3892-460C-B841-E8A9285FB450}"/>
            </c:ext>
          </c:extLst>
        </c:ser>
        <c:ser>
          <c:idx val="1"/>
          <c:order val="1"/>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Ranges'!$P$61:$P$67</c:f>
              <c:numCache>
                <c:formatCode>General</c:formatCode>
                <c:ptCount val="7"/>
                <c:pt idx="0">
                  <c:v>3.5817490260954599E-2</c:v>
                </c:pt>
                <c:pt idx="1">
                  <c:v>8.6939624076260463E-2</c:v>
                </c:pt>
                <c:pt idx="2">
                  <c:v>7.3171403490254194E-3</c:v>
                </c:pt>
                <c:pt idx="3">
                  <c:v>4.5432981260387084E-3</c:v>
                </c:pt>
                <c:pt idx="4">
                  <c:v>5.8364453919442671E-2</c:v>
                </c:pt>
                <c:pt idx="5">
                  <c:v>1.5881345983126793E-2</c:v>
                </c:pt>
                <c:pt idx="6">
                  <c:v>5.5511151231257827E-17</c:v>
                </c:pt>
              </c:numCache>
            </c:numRef>
          </c:val>
          <c:extLst>
            <c:ext xmlns:c16="http://schemas.microsoft.com/office/drawing/2014/chart" uri="{C3380CC4-5D6E-409C-BE32-E72D297353CC}">
              <c16:uniqueId val="{00000001-3892-460C-B841-E8A9285FB450}"/>
            </c:ext>
          </c:extLst>
        </c:ser>
        <c:ser>
          <c:idx val="2"/>
          <c:order val="2"/>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Ranges'!$Q$61:$Q$67</c:f>
              <c:numCache>
                <c:formatCode>General</c:formatCode>
                <c:ptCount val="7"/>
                <c:pt idx="0">
                  <c:v>6.0101555823211972E-2</c:v>
                </c:pt>
                <c:pt idx="1">
                  <c:v>7.6742764185800061E-2</c:v>
                </c:pt>
                <c:pt idx="2">
                  <c:v>7.1943897112959343E-3</c:v>
                </c:pt>
                <c:pt idx="3">
                  <c:v>4.186408502993455E-3</c:v>
                </c:pt>
                <c:pt idx="4">
                  <c:v>7.1993401317323957E-2</c:v>
                </c:pt>
                <c:pt idx="5">
                  <c:v>1.7292466175982013E-2</c:v>
                </c:pt>
                <c:pt idx="6">
                  <c:v>0</c:v>
                </c:pt>
              </c:numCache>
            </c:numRef>
          </c:val>
          <c:extLst>
            <c:ext xmlns:c16="http://schemas.microsoft.com/office/drawing/2014/chart" uri="{C3380CC4-5D6E-409C-BE32-E72D297353CC}">
              <c16:uniqueId val="{00000002-3892-460C-B841-E8A9285FB450}"/>
            </c:ext>
          </c:extLst>
        </c:ser>
        <c:ser>
          <c:idx val="3"/>
          <c:order val="3"/>
          <c:spPr>
            <a:solidFill>
              <a:srgbClr val="92D05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Ranges'!$R$61:$R$67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3892-460C-B841-E8A9285FB450}"/>
            </c:ext>
          </c:extLst>
        </c:ser>
        <c:ser>
          <c:idx val="4"/>
          <c:order val="4"/>
          <c:spPr>
            <a:solidFill>
              <a:srgbClr val="00B0F0"/>
            </a:solidFill>
          </c:spPr>
          <c:invertIfNegative val="0"/>
          <c:cat>
            <c:strRef>
              <c:f>'Sensitivity Ranges'!$I$61:$I$67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Ranges'!$S$61:$S$67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3892-460C-B841-E8A9285FB450}"/>
            </c:ext>
          </c:extLst>
        </c:ser>
        <c:dLbls>
          <c:showLegendKey val="0"/>
          <c:showVal val="0"/>
          <c:showCatName val="0"/>
          <c:showSerName val="0"/>
          <c:showPercent val="0"/>
          <c:showBubbleSize val="0"/>
        </c:dLbls>
        <c:gapWidth val="150"/>
        <c:overlap val="100"/>
        <c:axId val="-1768293920"/>
        <c:axId val="-1768299904"/>
      </c:barChart>
      <c:catAx>
        <c:axId val="-1768293920"/>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768299904"/>
        <c:crosses val="autoZero"/>
        <c:auto val="1"/>
        <c:lblAlgn val="ctr"/>
        <c:lblOffset val="100"/>
        <c:noMultiLvlLbl val="0"/>
      </c:catAx>
      <c:valAx>
        <c:axId val="-1768299904"/>
        <c:scaling>
          <c:orientation val="minMax"/>
        </c:scaling>
        <c:delete val="0"/>
        <c:axPos val="t"/>
        <c:majorGridlines/>
        <c:numFmt formatCode="0%" sourceLinked="0"/>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768293920"/>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EMV </a:t>
            </a:r>
          </a:p>
        </c:rich>
      </c:tx>
      <c:layout>
        <c:manualLayout>
          <c:xMode val="edge"/>
          <c:yMode val="edge"/>
          <c:x val="0.3327205882352941"/>
          <c:y val="3.1496062992125984E-2"/>
        </c:manualLayout>
      </c:layout>
      <c:overlay val="0"/>
    </c:title>
    <c:autoTitleDeleted val="0"/>
    <c:plotArea>
      <c:layout>
        <c:manualLayout>
          <c:layoutTarget val="inner"/>
          <c:xMode val="edge"/>
          <c:yMode val="edge"/>
          <c:x val="0.39705917992013373"/>
          <c:y val="0.2467197924863449"/>
          <c:w val="0.54963284627833331"/>
          <c:h val="0.71391259102431659"/>
        </c:manualLayout>
      </c:layout>
      <c:barChart>
        <c:barDir val="bar"/>
        <c:grouping val="stacked"/>
        <c:varyColors val="0"/>
        <c:ser>
          <c:idx val="0"/>
          <c:order val="0"/>
          <c:spPr>
            <a:no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Ranges'!$O$51:$O$57</c:f>
              <c:numCache>
                <c:formatCode>General</c:formatCode>
                <c:ptCount val="7"/>
                <c:pt idx="0">
                  <c:v>3374.1780597860998</c:v>
                </c:pt>
                <c:pt idx="1">
                  <c:v>2359.6865301884463</c:v>
                </c:pt>
                <c:pt idx="2">
                  <c:v>4340.2868817895633</c:v>
                </c:pt>
                <c:pt idx="3">
                  <c:v>4570.9902501042889</c:v>
                </c:pt>
                <c:pt idx="4">
                  <c:v>3849.2429808802208</c:v>
                </c:pt>
                <c:pt idx="5">
                  <c:v>4037.6013335402258</c:v>
                </c:pt>
                <c:pt idx="6">
                  <c:v>3656.7922000834315</c:v>
                </c:pt>
              </c:numCache>
            </c:numRef>
          </c:val>
          <c:extLst>
            <c:ext xmlns:c16="http://schemas.microsoft.com/office/drawing/2014/chart" uri="{C3380CC4-5D6E-409C-BE32-E72D297353CC}">
              <c16:uniqueId val="{00000000-F6E4-40C7-AB03-8F4294B869B1}"/>
            </c:ext>
          </c:extLst>
        </c:ser>
        <c:ser>
          <c:idx val="1"/>
          <c:order val="1"/>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Ranges'!$P$51:$P$57</c:f>
              <c:numCache>
                <c:formatCode>General</c:formatCode>
                <c:ptCount val="7"/>
                <c:pt idx="0">
                  <c:v>1196.8121903181891</c:v>
                </c:pt>
                <c:pt idx="1">
                  <c:v>2211.3037199158425</c:v>
                </c:pt>
                <c:pt idx="2">
                  <c:v>230.70336831472559</c:v>
                </c:pt>
                <c:pt idx="3">
                  <c:v>0</c:v>
                </c:pt>
                <c:pt idx="4">
                  <c:v>721.74726922406808</c:v>
                </c:pt>
                <c:pt idx="5">
                  <c:v>533.38891656406304</c:v>
                </c:pt>
                <c:pt idx="6">
                  <c:v>914.19805002085741</c:v>
                </c:pt>
              </c:numCache>
            </c:numRef>
          </c:val>
          <c:extLst>
            <c:ext xmlns:c16="http://schemas.microsoft.com/office/drawing/2014/chart" uri="{C3380CC4-5D6E-409C-BE32-E72D297353CC}">
              <c16:uniqueId val="{00000001-F6E4-40C7-AB03-8F4294B869B1}"/>
            </c:ext>
          </c:extLst>
        </c:ser>
        <c:ser>
          <c:idx val="2"/>
          <c:order val="2"/>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Ranges'!$Q$51:$Q$57</c:f>
              <c:numCache>
                <c:formatCode>General</c:formatCode>
                <c:ptCount val="7"/>
                <c:pt idx="0">
                  <c:v>2520.2969604141581</c:v>
                </c:pt>
                <c:pt idx="1">
                  <c:v>2221.8123894936252</c:v>
                </c:pt>
                <c:pt idx="2">
                  <c:v>250.56133159548699</c:v>
                </c:pt>
                <c:pt idx="3">
                  <c:v>9.0039732054119668</c:v>
                </c:pt>
                <c:pt idx="4">
                  <c:v>609.7039000542336</c:v>
                </c:pt>
                <c:pt idx="5">
                  <c:v>565.64130431102421</c:v>
                </c:pt>
                <c:pt idx="6">
                  <c:v>0</c:v>
                </c:pt>
              </c:numCache>
            </c:numRef>
          </c:val>
          <c:extLst>
            <c:ext xmlns:c16="http://schemas.microsoft.com/office/drawing/2014/chart" uri="{C3380CC4-5D6E-409C-BE32-E72D297353CC}">
              <c16:uniqueId val="{00000002-F6E4-40C7-AB03-8F4294B869B1}"/>
            </c:ext>
          </c:extLst>
        </c:ser>
        <c:ser>
          <c:idx val="3"/>
          <c:order val="3"/>
          <c:spPr>
            <a:solidFill>
              <a:srgbClr val="92D05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Ranges'!$R$51:$R$57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F6E4-40C7-AB03-8F4294B869B1}"/>
            </c:ext>
          </c:extLst>
        </c:ser>
        <c:ser>
          <c:idx val="4"/>
          <c:order val="4"/>
          <c:spPr>
            <a:solidFill>
              <a:srgbClr val="00B0F0"/>
            </a:solidFill>
          </c:spPr>
          <c:invertIfNegative val="0"/>
          <c:cat>
            <c:strRef>
              <c:f>'Sensitivity Ranges'!$I$51:$I$57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Ranges'!$S$51:$S$57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F6E4-40C7-AB03-8F4294B869B1}"/>
            </c:ext>
          </c:extLst>
        </c:ser>
        <c:dLbls>
          <c:showLegendKey val="0"/>
          <c:showVal val="0"/>
          <c:showCatName val="0"/>
          <c:showSerName val="0"/>
          <c:showPercent val="0"/>
          <c:showBubbleSize val="0"/>
        </c:dLbls>
        <c:gapWidth val="150"/>
        <c:overlap val="100"/>
        <c:axId val="-1768306432"/>
        <c:axId val="-1768301536"/>
      </c:barChart>
      <c:catAx>
        <c:axId val="-1768306432"/>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768301536"/>
        <c:crosses val="autoZero"/>
        <c:auto val="1"/>
        <c:lblAlgn val="ctr"/>
        <c:lblOffset val="100"/>
        <c:noMultiLvlLbl val="0"/>
      </c:catAx>
      <c:valAx>
        <c:axId val="-1768301536"/>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768306432"/>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 l="0.70000000000000062" r="0.70000000000000062" t="0.750000000000001"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DROI</a:t>
            </a:r>
          </a:p>
        </c:rich>
      </c:tx>
      <c:layout>
        <c:manualLayout>
          <c:xMode val="edge"/>
          <c:yMode val="edge"/>
          <c:x val="0.32536764705882354"/>
          <c:y val="3.3519553072625698E-2"/>
        </c:manualLayout>
      </c:layout>
      <c:overlay val="0"/>
    </c:title>
    <c:autoTitleDeleted val="0"/>
    <c:plotArea>
      <c:layout>
        <c:manualLayout>
          <c:layoutTarget val="inner"/>
          <c:xMode val="edge"/>
          <c:yMode val="edge"/>
          <c:x val="0.39705917992013373"/>
          <c:y val="0.26536349042462798"/>
          <c:w val="0.5533093201664826"/>
          <c:h val="0.69273837500323932"/>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Ranges'!$O$71:$O$77</c:f>
              <c:numCache>
                <c:formatCode>General</c:formatCode>
                <c:ptCount val="7"/>
                <c:pt idx="0">
                  <c:v>0.73496524259808782</c:v>
                </c:pt>
                <c:pt idx="1">
                  <c:v>0.46749194582699721</c:v>
                </c:pt>
                <c:pt idx="2">
                  <c:v>0.85988080783473886</c:v>
                </c:pt>
                <c:pt idx="3">
                  <c:v>0.89612734441293207</c:v>
                </c:pt>
                <c:pt idx="4">
                  <c:v>0.59232986213545669</c:v>
                </c:pt>
                <c:pt idx="5">
                  <c:v>0.79991392065947764</c:v>
                </c:pt>
                <c:pt idx="6">
                  <c:v>0.90558686462766391</c:v>
                </c:pt>
              </c:numCache>
            </c:numRef>
          </c:val>
          <c:extLst>
            <c:ext xmlns:c16="http://schemas.microsoft.com/office/drawing/2014/chart" uri="{C3380CC4-5D6E-409C-BE32-E72D297353CC}">
              <c16:uniqueId val="{00000000-A2EB-4D96-822F-8CA41A744FC1}"/>
            </c:ext>
          </c:extLst>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Ranges'!$P$71:$P$77</c:f>
              <c:numCache>
                <c:formatCode>General</c:formatCode>
                <c:ptCount val="7"/>
                <c:pt idx="0">
                  <c:v>0.1706216220295762</c:v>
                </c:pt>
                <c:pt idx="1">
                  <c:v>0.43809491880066681</c:v>
                </c:pt>
                <c:pt idx="2">
                  <c:v>4.5706056792925165E-2</c:v>
                </c:pt>
                <c:pt idx="3">
                  <c:v>9.4595202147319535E-3</c:v>
                </c:pt>
                <c:pt idx="4">
                  <c:v>0.31325700249220734</c:v>
                </c:pt>
                <c:pt idx="5">
                  <c:v>0.10567294396818638</c:v>
                </c:pt>
                <c:pt idx="6">
                  <c:v>1.1102230246251565E-16</c:v>
                </c:pt>
              </c:numCache>
            </c:numRef>
          </c:val>
          <c:extLst>
            <c:ext xmlns:c16="http://schemas.microsoft.com/office/drawing/2014/chart" uri="{C3380CC4-5D6E-409C-BE32-E72D297353CC}">
              <c16:uniqueId val="{00000001-A2EB-4D96-822F-8CA41A744FC1}"/>
            </c:ext>
          </c:extLst>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Ranges'!$Q$71:$Q$77</c:f>
              <c:numCache>
                <c:formatCode>General</c:formatCode>
                <c:ptCount val="7"/>
                <c:pt idx="0">
                  <c:v>0.33350458084999601</c:v>
                </c:pt>
                <c:pt idx="1">
                  <c:v>0.4401768556707214</c:v>
                </c:pt>
                <c:pt idx="2">
                  <c:v>4.9640239480124082E-2</c:v>
                </c:pt>
                <c:pt idx="3">
                  <c:v>1.0206158284900124E-2</c:v>
                </c:pt>
                <c:pt idx="4">
                  <c:v>0.44410294075159451</c:v>
                </c:pt>
                <c:pt idx="5">
                  <c:v>0.11206266197203896</c:v>
                </c:pt>
                <c:pt idx="6">
                  <c:v>0</c:v>
                </c:pt>
              </c:numCache>
            </c:numRef>
          </c:val>
          <c:extLst>
            <c:ext xmlns:c16="http://schemas.microsoft.com/office/drawing/2014/chart" uri="{C3380CC4-5D6E-409C-BE32-E72D297353CC}">
              <c16:uniqueId val="{00000002-A2EB-4D96-822F-8CA41A744FC1}"/>
            </c:ext>
          </c:extLst>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Ranges'!$R$71:$R$77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A2EB-4D96-822F-8CA41A744FC1}"/>
            </c:ext>
          </c:extLst>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Ranges'!$S$71:$S$77</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A2EB-4D96-822F-8CA41A744FC1}"/>
            </c:ext>
          </c:extLst>
        </c:ser>
        <c:dLbls>
          <c:showLegendKey val="0"/>
          <c:showVal val="0"/>
          <c:showCatName val="0"/>
          <c:showSerName val="0"/>
          <c:showPercent val="0"/>
          <c:showBubbleSize val="0"/>
        </c:dLbls>
        <c:gapWidth val="150"/>
        <c:overlap val="100"/>
        <c:axId val="-1768297728"/>
        <c:axId val="-1768302624"/>
      </c:barChart>
      <c:catAx>
        <c:axId val="-1768297728"/>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768302624"/>
        <c:crosses val="autoZero"/>
        <c:auto val="1"/>
        <c:lblAlgn val="ctr"/>
        <c:lblOffset val="100"/>
        <c:noMultiLvlLbl val="0"/>
      </c:catAx>
      <c:valAx>
        <c:axId val="-1768302624"/>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768297728"/>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a:t>Sensitivity of Committed DROI</a:t>
            </a:r>
          </a:p>
        </c:rich>
      </c:tx>
      <c:layout>
        <c:manualLayout>
          <c:xMode val="edge"/>
          <c:yMode val="edge"/>
          <c:x val="0.21731123388581952"/>
          <c:y val="3.3426047096225646E-2"/>
        </c:manualLayout>
      </c:layout>
      <c:overlay val="0"/>
    </c:title>
    <c:autoTitleDeleted val="0"/>
    <c:plotArea>
      <c:layout>
        <c:manualLayout>
          <c:layoutTarget val="inner"/>
          <c:xMode val="edge"/>
          <c:yMode val="edge"/>
          <c:x val="0.39779077065847057"/>
          <c:y val="0.2618384401114206"/>
          <c:w val="0.55617042934656524"/>
          <c:h val="0.69637883008356583"/>
        </c:manualLayout>
      </c:layout>
      <c:barChart>
        <c:barDir val="bar"/>
        <c:grouping val="stacked"/>
        <c:varyColors val="0"/>
        <c:ser>
          <c:idx val="0"/>
          <c:order val="0"/>
          <c:spPr>
            <a:no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Ranges'!$O$82:$O$88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683E-4543-80AF-596C4CBD5963}"/>
            </c:ext>
          </c:extLst>
        </c:ser>
        <c:ser>
          <c:idx val="1"/>
          <c:order val="1"/>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Ranges'!$P$82:$P$88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683E-4543-80AF-596C4CBD5963}"/>
            </c:ext>
          </c:extLst>
        </c:ser>
        <c:ser>
          <c:idx val="2"/>
          <c:order val="2"/>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Ranges'!$Q$82:$Q$88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683E-4543-80AF-596C4CBD5963}"/>
            </c:ext>
          </c:extLst>
        </c:ser>
        <c:ser>
          <c:idx val="3"/>
          <c:order val="3"/>
          <c:spPr>
            <a:solidFill>
              <a:srgbClr val="92D05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Ranges'!$R$82:$R$88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3-683E-4543-80AF-596C4CBD5963}"/>
            </c:ext>
          </c:extLst>
        </c:ser>
        <c:ser>
          <c:idx val="4"/>
          <c:order val="4"/>
          <c:spPr>
            <a:solidFill>
              <a:srgbClr val="00B0F0"/>
            </a:solidFill>
          </c:spPr>
          <c:invertIfNegative val="0"/>
          <c:cat>
            <c:strRef>
              <c:f>'Sensitivity Ranges'!$I$71:$I$77</c:f>
              <c:strCache>
                <c:ptCount val="7"/>
                <c:pt idx="0">
                  <c:v>Reserves</c:v>
                </c:pt>
                <c:pt idx="1">
                  <c:v>Oil Price</c:v>
                </c:pt>
                <c:pt idx="2">
                  <c:v>Gas Price</c:v>
                </c:pt>
                <c:pt idx="3">
                  <c:v>Exploration Costs</c:v>
                </c:pt>
                <c:pt idx="4">
                  <c:v>Development Costs</c:v>
                </c:pt>
                <c:pt idx="5">
                  <c:v>Operating Costs</c:v>
                </c:pt>
                <c:pt idx="6">
                  <c:v>Chance of Development</c:v>
                </c:pt>
              </c:strCache>
            </c:strRef>
          </c:cat>
          <c:val>
            <c:numRef>
              <c:f>'Sensitivity Ranges'!$S$82:$S$88</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4-683E-4543-80AF-596C4CBD5963}"/>
            </c:ext>
          </c:extLst>
        </c:ser>
        <c:dLbls>
          <c:showLegendKey val="0"/>
          <c:showVal val="0"/>
          <c:showCatName val="0"/>
          <c:showSerName val="0"/>
          <c:showPercent val="0"/>
          <c:showBubbleSize val="0"/>
        </c:dLbls>
        <c:gapWidth val="150"/>
        <c:overlap val="100"/>
        <c:axId val="-1768303712"/>
        <c:axId val="-1768303168"/>
      </c:barChart>
      <c:catAx>
        <c:axId val="-1768303712"/>
        <c:scaling>
          <c:orientation val="maxMin"/>
        </c:scaling>
        <c:delete val="0"/>
        <c:axPos val="l"/>
        <c:numFmt formatCode="General" sourceLinked="1"/>
        <c:majorTickMark val="none"/>
        <c:minorTickMark val="none"/>
        <c:tickLblPos val="low"/>
        <c:spPr>
          <a:ln>
            <a:noFill/>
          </a:ln>
        </c:spPr>
        <c:txPr>
          <a:bodyPr rot="0" vert="horz"/>
          <a:lstStyle/>
          <a:p>
            <a:pPr>
              <a:defRPr sz="1400" b="0" i="0" u="none" strike="noStrike" baseline="0">
                <a:solidFill>
                  <a:srgbClr val="000000"/>
                </a:solidFill>
                <a:latin typeface="Calibri"/>
                <a:ea typeface="Calibri"/>
                <a:cs typeface="Calibri"/>
              </a:defRPr>
            </a:pPr>
            <a:endParaRPr lang="en-US"/>
          </a:p>
        </c:txPr>
        <c:crossAx val="-1768303168"/>
        <c:crosses val="autoZero"/>
        <c:auto val="1"/>
        <c:lblAlgn val="ctr"/>
        <c:lblOffset val="100"/>
        <c:noMultiLvlLbl val="0"/>
      </c:catAx>
      <c:valAx>
        <c:axId val="-1768303168"/>
        <c:scaling>
          <c:orientation val="minMax"/>
        </c:scaling>
        <c:delete val="0"/>
        <c:axPos val="t"/>
        <c:majorGridlines/>
        <c:numFmt formatCode="General" sourceLinked="1"/>
        <c:majorTickMark val="out"/>
        <c:minorTickMark val="none"/>
        <c:tickLblPos val="nextTo"/>
        <c:spPr>
          <a:ln w="15875"/>
        </c:spPr>
        <c:txPr>
          <a:bodyPr rot="0" vert="horz"/>
          <a:lstStyle/>
          <a:p>
            <a:pPr>
              <a:defRPr sz="1200" b="0" i="0" u="none" strike="noStrike" baseline="0">
                <a:solidFill>
                  <a:srgbClr val="000000"/>
                </a:solidFill>
                <a:latin typeface="Calibri"/>
                <a:ea typeface="Calibri"/>
                <a:cs typeface="Calibri"/>
              </a:defRPr>
            </a:pPr>
            <a:endParaRPr lang="en-US"/>
          </a:p>
        </c:txPr>
        <c:crossAx val="-1768303712"/>
        <c:crosses val="autoZero"/>
        <c:crossBetween val="between"/>
      </c:valAx>
      <c:spPr>
        <a:solidFill>
          <a:schemeClr val="bg2"/>
        </a:solidFill>
        <a:ln w="41275" cmpd="sng">
          <a:solidFill>
            <a:sysClr val="windowText" lastClr="000000">
              <a:tint val="75000"/>
              <a:shade val="95000"/>
              <a:satMod val="105000"/>
            </a:sysClr>
          </a:solidFill>
        </a:ln>
      </c:spPr>
    </c:plotArea>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144" l="0.70000000000000062" r="0.70000000000000062" t="0.75000000000000144"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GB" sz="1800"/>
              <a:t>Government Take as a Percentage of Risked Cash Flow for Varying Price Cases</a:t>
            </a:r>
          </a:p>
        </c:rich>
      </c:tx>
      <c:overlay val="0"/>
    </c:title>
    <c:autoTitleDeleted val="0"/>
    <c:plotArea>
      <c:layout/>
      <c:barChart>
        <c:barDir val="col"/>
        <c:grouping val="stacked"/>
        <c:varyColors val="0"/>
        <c:ser>
          <c:idx val="2"/>
          <c:order val="0"/>
          <c:tx>
            <c:strRef>
              <c:f>Thresholds!$R$67</c:f>
              <c:strCache>
                <c:ptCount val="1"/>
                <c:pt idx="0">
                  <c:v>Net Cash Flow</c:v>
                </c:pt>
              </c:strCache>
            </c:strRef>
          </c:tx>
          <c:spPr>
            <a:solidFill>
              <a:srgbClr val="7030A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Thresholds!$S$63:$W$63</c:f>
              <c:strCache>
                <c:ptCount val="5"/>
                <c:pt idx="0">
                  <c:v>Base</c:v>
                </c:pt>
                <c:pt idx="1">
                  <c:v>High Inflation</c:v>
                </c:pt>
                <c:pt idx="2">
                  <c:v>Base + 3%/y</c:v>
                </c:pt>
                <c:pt idx="3">
                  <c:v>Base - 1.5%/y</c:v>
                </c:pt>
                <c:pt idx="4">
                  <c:v>Base + 3%/y</c:v>
                </c:pt>
              </c:strCache>
            </c:strRef>
          </c:cat>
          <c:val>
            <c:numRef>
              <c:f>Thresholds!$S$67:$W$67</c:f>
              <c:numCache>
                <c:formatCode>0.0%</c:formatCode>
                <c:ptCount val="5"/>
                <c:pt idx="0">
                  <c:v>0.4929943013102977</c:v>
                </c:pt>
                <c:pt idx="1">
                  <c:v>0.49719007395730913</c:v>
                </c:pt>
                <c:pt idx="2">
                  <c:v>0.47855003807404622</c:v>
                </c:pt>
                <c:pt idx="3">
                  <c:v>0.50189511617929294</c:v>
                </c:pt>
                <c:pt idx="4">
                  <c:v>0.47855003807404622</c:v>
                </c:pt>
              </c:numCache>
            </c:numRef>
          </c:val>
          <c:extLst>
            <c:ext xmlns:c16="http://schemas.microsoft.com/office/drawing/2014/chart" uri="{C3380CC4-5D6E-409C-BE32-E72D297353CC}">
              <c16:uniqueId val="{00000000-F560-4F53-AF10-08F5D9B1F6F9}"/>
            </c:ext>
          </c:extLst>
        </c:ser>
        <c:ser>
          <c:idx val="3"/>
          <c:order val="1"/>
          <c:tx>
            <c:strRef>
              <c:f>Thresholds!$R$64</c:f>
              <c:strCache>
                <c:ptCount val="1"/>
                <c:pt idx="0">
                  <c:v>Royalty</c:v>
                </c:pt>
              </c:strCache>
            </c:strRef>
          </c:tx>
          <c:spPr>
            <a:solidFill>
              <a:srgbClr val="0070C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Thresholds!$S$63:$W$63</c:f>
              <c:strCache>
                <c:ptCount val="5"/>
                <c:pt idx="0">
                  <c:v>Base</c:v>
                </c:pt>
                <c:pt idx="1">
                  <c:v>High Inflation</c:v>
                </c:pt>
                <c:pt idx="2">
                  <c:v>Base + 3%/y</c:v>
                </c:pt>
                <c:pt idx="3">
                  <c:v>Base - 1.5%/y</c:v>
                </c:pt>
                <c:pt idx="4">
                  <c:v>Base + 3%/y</c:v>
                </c:pt>
              </c:strCache>
            </c:strRef>
          </c:cat>
          <c:val>
            <c:numRef>
              <c:f>Thresholds!$S$64:$W$64</c:f>
              <c:numCache>
                <c:formatCode>0.0%</c:formatCode>
                <c:ptCount val="5"/>
                <c:pt idx="0">
                  <c:v>0.3012871276697367</c:v>
                </c:pt>
                <c:pt idx="1">
                  <c:v>0.29422351812382497</c:v>
                </c:pt>
                <c:pt idx="2">
                  <c:v>0.32521563951489352</c:v>
                </c:pt>
                <c:pt idx="3">
                  <c:v>0.28798530122699628</c:v>
                </c:pt>
                <c:pt idx="4">
                  <c:v>0.32521563951489352</c:v>
                </c:pt>
              </c:numCache>
            </c:numRef>
          </c:val>
          <c:extLst>
            <c:ext xmlns:c16="http://schemas.microsoft.com/office/drawing/2014/chart" uri="{C3380CC4-5D6E-409C-BE32-E72D297353CC}">
              <c16:uniqueId val="{00000001-F560-4F53-AF10-08F5D9B1F6F9}"/>
            </c:ext>
          </c:extLst>
        </c:ser>
        <c:ser>
          <c:idx val="0"/>
          <c:order val="2"/>
          <c:tx>
            <c:strRef>
              <c:f>Thresholds!$R$65</c:f>
              <c:strCache>
                <c:ptCount val="1"/>
                <c:pt idx="0">
                  <c:v>Provincial Income Tax</c:v>
                </c:pt>
              </c:strCache>
            </c:strRef>
          </c:tx>
          <c:spPr>
            <a:solidFill>
              <a:srgbClr val="FF000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Thresholds!$S$63:$W$63</c:f>
              <c:strCache>
                <c:ptCount val="5"/>
                <c:pt idx="0">
                  <c:v>Base</c:v>
                </c:pt>
                <c:pt idx="1">
                  <c:v>High Inflation</c:v>
                </c:pt>
                <c:pt idx="2">
                  <c:v>Base + 3%/y</c:v>
                </c:pt>
                <c:pt idx="3">
                  <c:v>Base - 1.5%/y</c:v>
                </c:pt>
                <c:pt idx="4">
                  <c:v>Base + 3%/y</c:v>
                </c:pt>
              </c:strCache>
            </c:strRef>
          </c:cat>
          <c:val>
            <c:numRef>
              <c:f>Thresholds!$S$65:$W$65</c:f>
              <c:numCache>
                <c:formatCode>0.0%</c:formatCode>
                <c:ptCount val="5"/>
                <c:pt idx="0">
                  <c:v>9.8775091280711269E-2</c:v>
                </c:pt>
                <c:pt idx="1">
                  <c:v>0.10003634703553743</c:v>
                </c:pt>
                <c:pt idx="2">
                  <c:v>9.4556112943030887E-2</c:v>
                </c:pt>
                <c:pt idx="3">
                  <c:v>0.10069107704517449</c:v>
                </c:pt>
                <c:pt idx="4">
                  <c:v>9.4556112943030887E-2</c:v>
                </c:pt>
              </c:numCache>
            </c:numRef>
          </c:val>
          <c:extLst>
            <c:ext xmlns:c16="http://schemas.microsoft.com/office/drawing/2014/chart" uri="{C3380CC4-5D6E-409C-BE32-E72D297353CC}">
              <c16:uniqueId val="{00000002-F560-4F53-AF10-08F5D9B1F6F9}"/>
            </c:ext>
          </c:extLst>
        </c:ser>
        <c:ser>
          <c:idx val="1"/>
          <c:order val="3"/>
          <c:tx>
            <c:strRef>
              <c:f>Thresholds!$R$66</c:f>
              <c:strCache>
                <c:ptCount val="1"/>
                <c:pt idx="0">
                  <c:v>Federal Income Tax</c:v>
                </c:pt>
              </c:strCache>
            </c:strRef>
          </c:tx>
          <c:spPr>
            <a:solidFill>
              <a:srgbClr val="92D05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Thresholds!$S$63:$W$63</c:f>
              <c:strCache>
                <c:ptCount val="5"/>
                <c:pt idx="0">
                  <c:v>Base</c:v>
                </c:pt>
                <c:pt idx="1">
                  <c:v>High Inflation</c:v>
                </c:pt>
                <c:pt idx="2">
                  <c:v>Base + 3%/y</c:v>
                </c:pt>
                <c:pt idx="3">
                  <c:v>Base - 1.5%/y</c:v>
                </c:pt>
                <c:pt idx="4">
                  <c:v>Base + 3%/y</c:v>
                </c:pt>
              </c:strCache>
            </c:strRef>
          </c:cat>
          <c:val>
            <c:numRef>
              <c:f>Thresholds!$S$66:$W$66</c:f>
              <c:numCache>
                <c:formatCode>0.0%</c:formatCode>
                <c:ptCount val="5"/>
                <c:pt idx="0">
                  <c:v>0.10694347973925439</c:v>
                </c:pt>
                <c:pt idx="1">
                  <c:v>0.10855006088332847</c:v>
                </c:pt>
                <c:pt idx="2">
                  <c:v>0.10167820946802938</c:v>
                </c:pt>
                <c:pt idx="3">
                  <c:v>0.10942850554853623</c:v>
                </c:pt>
                <c:pt idx="4">
                  <c:v>0.10167820946802938</c:v>
                </c:pt>
              </c:numCache>
            </c:numRef>
          </c:val>
          <c:extLst>
            <c:ext xmlns:c16="http://schemas.microsoft.com/office/drawing/2014/chart" uri="{C3380CC4-5D6E-409C-BE32-E72D297353CC}">
              <c16:uniqueId val="{00000003-F560-4F53-AF10-08F5D9B1F6F9}"/>
            </c:ext>
          </c:extLst>
        </c:ser>
        <c:dLbls>
          <c:showLegendKey val="0"/>
          <c:showVal val="0"/>
          <c:showCatName val="0"/>
          <c:showSerName val="0"/>
          <c:showPercent val="0"/>
          <c:showBubbleSize val="0"/>
        </c:dLbls>
        <c:gapWidth val="95"/>
        <c:overlap val="100"/>
        <c:axId val="-1768308064"/>
        <c:axId val="-1768300992"/>
      </c:barChart>
      <c:catAx>
        <c:axId val="-1768308064"/>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768300992"/>
        <c:crosses val="autoZero"/>
        <c:auto val="1"/>
        <c:lblAlgn val="ctr"/>
        <c:lblOffset val="100"/>
        <c:noMultiLvlLbl val="0"/>
      </c:catAx>
      <c:valAx>
        <c:axId val="-1768300992"/>
        <c:scaling>
          <c:orientation val="minMax"/>
        </c:scaling>
        <c:delete val="1"/>
        <c:axPos val="l"/>
        <c:numFmt formatCode="0.0%" sourceLinked="1"/>
        <c:majorTickMark val="out"/>
        <c:minorTickMark val="none"/>
        <c:tickLblPos val="nextTo"/>
        <c:crossAx val="-1768308064"/>
        <c:crosses val="autoZero"/>
        <c:crossBetween val="between"/>
      </c:valAx>
      <c:spPr>
        <a:solidFill>
          <a:srgbClr val="EEECE1"/>
        </a:solidFill>
        <a:ln>
          <a:noFill/>
        </a:ln>
      </c:spPr>
    </c:plotArea>
    <c:legend>
      <c:legendPos val="b"/>
      <c:overlay val="0"/>
      <c:txPr>
        <a:bodyPr/>
        <a:lstStyle/>
        <a:p>
          <a:pPr>
            <a:defRPr sz="140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chemeClr val="bg2"/>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25968296557188E-2"/>
          <c:y val="0"/>
          <c:w val="0.96154806340688559"/>
          <c:h val="0.76490051703296402"/>
        </c:manualLayout>
      </c:layout>
      <c:barChart>
        <c:barDir val="col"/>
        <c:grouping val="stacked"/>
        <c:varyColors val="0"/>
        <c:ser>
          <c:idx val="2"/>
          <c:order val="0"/>
          <c:tx>
            <c:strRef>
              <c:f>Thresholds!$R$74</c:f>
              <c:strCache>
                <c:ptCount val="1"/>
                <c:pt idx="0">
                  <c:v>Net Cash Flow</c:v>
                </c:pt>
              </c:strCache>
            </c:strRef>
          </c:tx>
          <c:spPr>
            <a:solidFill>
              <a:srgbClr val="7030A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Thresholds!$S$74:$X$74</c:f>
              <c:numCache>
                <c:formatCode>0.0%</c:formatCode>
                <c:ptCount val="6"/>
                <c:pt idx="0">
                  <c:v>0</c:v>
                </c:pt>
                <c:pt idx="1">
                  <c:v>0.54329786508340938</c:v>
                </c:pt>
                <c:pt idx="2">
                  <c:v>0.50010531640563582</c:v>
                </c:pt>
                <c:pt idx="3">
                  <c:v>0.48820606221002355</c:v>
                </c:pt>
                <c:pt idx="4">
                  <c:v>0.48218096093884288</c:v>
                </c:pt>
                <c:pt idx="5">
                  <c:v>0.47869906568163723</c:v>
                </c:pt>
              </c:numCache>
            </c:numRef>
          </c:val>
          <c:extLst>
            <c:ext xmlns:c16="http://schemas.microsoft.com/office/drawing/2014/chart" uri="{C3380CC4-5D6E-409C-BE32-E72D297353CC}">
              <c16:uniqueId val="{00000000-2F91-47D8-9833-7F92DEC08ADD}"/>
            </c:ext>
          </c:extLst>
        </c:ser>
        <c:ser>
          <c:idx val="3"/>
          <c:order val="1"/>
          <c:tx>
            <c:strRef>
              <c:f>Thresholds!$R$71</c:f>
              <c:strCache>
                <c:ptCount val="1"/>
                <c:pt idx="0">
                  <c:v>Royalty</c:v>
                </c:pt>
              </c:strCache>
            </c:strRef>
          </c:tx>
          <c:spPr>
            <a:solidFill>
              <a:srgbClr val="0070C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Thresholds!$S$71:$X$71</c:f>
              <c:numCache>
                <c:formatCode>0.0%</c:formatCode>
                <c:ptCount val="6"/>
                <c:pt idx="0">
                  <c:v>0</c:v>
                </c:pt>
                <c:pt idx="1">
                  <c:v>0.23057778145582189</c:v>
                </c:pt>
                <c:pt idx="2">
                  <c:v>0.29051321732616137</c:v>
                </c:pt>
                <c:pt idx="3">
                  <c:v>0.30897625762313086</c:v>
                </c:pt>
                <c:pt idx="4">
                  <c:v>0.31724232008333542</c:v>
                </c:pt>
                <c:pt idx="5">
                  <c:v>0.32323054470116447</c:v>
                </c:pt>
              </c:numCache>
            </c:numRef>
          </c:val>
          <c:extLst>
            <c:ext xmlns:c16="http://schemas.microsoft.com/office/drawing/2014/chart" uri="{C3380CC4-5D6E-409C-BE32-E72D297353CC}">
              <c16:uniqueId val="{00000001-2F91-47D8-9833-7F92DEC08ADD}"/>
            </c:ext>
          </c:extLst>
        </c:ser>
        <c:ser>
          <c:idx val="0"/>
          <c:order val="2"/>
          <c:tx>
            <c:strRef>
              <c:f>Thresholds!$R$72</c:f>
              <c:strCache>
                <c:ptCount val="1"/>
                <c:pt idx="0">
                  <c:v>Provincial Income Tax</c:v>
                </c:pt>
              </c:strCache>
            </c:strRef>
          </c:tx>
          <c:spPr>
            <a:solidFill>
              <a:srgbClr val="FF000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Thresholds!$S$72:$X$72</c:f>
              <c:numCache>
                <c:formatCode>0.0%</c:formatCode>
                <c:ptCount val="6"/>
                <c:pt idx="0">
                  <c:v>0</c:v>
                </c:pt>
                <c:pt idx="1">
                  <c:v>0.107719110596185</c:v>
                </c:pt>
                <c:pt idx="2">
                  <c:v>0.10046638799213653</c:v>
                </c:pt>
                <c:pt idx="3">
                  <c:v>9.7428550439899994E-2</c:v>
                </c:pt>
                <c:pt idx="4">
                  <c:v>9.6517610585402772E-2</c:v>
                </c:pt>
                <c:pt idx="5">
                  <c:v>9.5348487322239925E-2</c:v>
                </c:pt>
              </c:numCache>
            </c:numRef>
          </c:val>
          <c:extLst>
            <c:ext xmlns:c16="http://schemas.microsoft.com/office/drawing/2014/chart" uri="{C3380CC4-5D6E-409C-BE32-E72D297353CC}">
              <c16:uniqueId val="{00000002-2F91-47D8-9833-7F92DEC08ADD}"/>
            </c:ext>
          </c:extLst>
        </c:ser>
        <c:ser>
          <c:idx val="1"/>
          <c:order val="3"/>
          <c:tx>
            <c:strRef>
              <c:f>Thresholds!$R$73</c:f>
              <c:strCache>
                <c:ptCount val="1"/>
                <c:pt idx="0">
                  <c:v>Federal Income Tax</c:v>
                </c:pt>
              </c:strCache>
            </c:strRef>
          </c:tx>
          <c:spPr>
            <a:solidFill>
              <a:srgbClr val="92D050"/>
            </a:solidFill>
          </c:spPr>
          <c:invertIfNegative val="0"/>
          <c:dLbls>
            <c:spPr>
              <a:noFill/>
              <a:ln>
                <a:noFill/>
              </a:ln>
              <a:effectLst/>
            </c:spPr>
            <c:txPr>
              <a:bodyPr/>
              <a:lstStyle/>
              <a:p>
                <a:pPr>
                  <a:defRPr sz="1100" b="0" i="0" u="none" strike="noStrike" baseline="0">
                    <a:solidFill>
                      <a:srgbClr val="000000"/>
                    </a:solidFill>
                    <a:latin typeface="Calibri"/>
                    <a:ea typeface="Calibri"/>
                    <a:cs typeface="Calibri"/>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Thresholds!$S$70:$X$70</c:f>
              <c:numCache>
                <c:formatCode>General</c:formatCode>
                <c:ptCount val="6"/>
                <c:pt idx="0">
                  <c:v>40</c:v>
                </c:pt>
                <c:pt idx="1">
                  <c:v>140</c:v>
                </c:pt>
                <c:pt idx="2">
                  <c:v>240</c:v>
                </c:pt>
                <c:pt idx="3">
                  <c:v>340</c:v>
                </c:pt>
                <c:pt idx="4">
                  <c:v>440</c:v>
                </c:pt>
                <c:pt idx="5">
                  <c:v>540</c:v>
                </c:pt>
              </c:numCache>
            </c:numRef>
          </c:cat>
          <c:val>
            <c:numRef>
              <c:f>Thresholds!$S$73:$X$73</c:f>
              <c:numCache>
                <c:formatCode>0.0%</c:formatCode>
                <c:ptCount val="6"/>
                <c:pt idx="0">
                  <c:v>0</c:v>
                </c:pt>
                <c:pt idx="1">
                  <c:v>0.11840524286458368</c:v>
                </c:pt>
                <c:pt idx="2">
                  <c:v>0.10891507827606622</c:v>
                </c:pt>
                <c:pt idx="3">
                  <c:v>0.10538912972694547</c:v>
                </c:pt>
                <c:pt idx="4">
                  <c:v>0.10405910839241896</c:v>
                </c:pt>
                <c:pt idx="5">
                  <c:v>0.10272190229495841</c:v>
                </c:pt>
              </c:numCache>
            </c:numRef>
          </c:val>
          <c:extLst>
            <c:ext xmlns:c16="http://schemas.microsoft.com/office/drawing/2014/chart" uri="{C3380CC4-5D6E-409C-BE32-E72D297353CC}">
              <c16:uniqueId val="{00000003-2F91-47D8-9833-7F92DEC08ADD}"/>
            </c:ext>
          </c:extLst>
        </c:ser>
        <c:dLbls>
          <c:showLegendKey val="0"/>
          <c:showVal val="0"/>
          <c:showCatName val="0"/>
          <c:showSerName val="0"/>
          <c:showPercent val="0"/>
          <c:showBubbleSize val="0"/>
        </c:dLbls>
        <c:gapWidth val="67"/>
        <c:overlap val="100"/>
        <c:axId val="-1765490000"/>
        <c:axId val="-1765490544"/>
      </c:barChart>
      <c:catAx>
        <c:axId val="-1765490000"/>
        <c:scaling>
          <c:orientation val="minMax"/>
        </c:scaling>
        <c:delete val="0"/>
        <c:axPos val="b"/>
        <c:numFmt formatCode="General" sourceLinked="1"/>
        <c:majorTickMark val="none"/>
        <c:minorTickMark val="none"/>
        <c:tickLblPos val="nextTo"/>
        <c:txPr>
          <a:bodyPr rot="0" vert="horz"/>
          <a:lstStyle/>
          <a:p>
            <a:pPr>
              <a:defRPr sz="1400" b="0" i="0" u="none" strike="noStrike" baseline="0">
                <a:solidFill>
                  <a:srgbClr val="000000"/>
                </a:solidFill>
                <a:latin typeface="Calibri"/>
                <a:ea typeface="Calibri"/>
                <a:cs typeface="Calibri"/>
              </a:defRPr>
            </a:pPr>
            <a:endParaRPr lang="en-US"/>
          </a:p>
        </c:txPr>
        <c:crossAx val="-1765490544"/>
        <c:crosses val="autoZero"/>
        <c:auto val="1"/>
        <c:lblAlgn val="ctr"/>
        <c:lblOffset val="100"/>
        <c:noMultiLvlLbl val="0"/>
      </c:catAx>
      <c:valAx>
        <c:axId val="-1765490544"/>
        <c:scaling>
          <c:orientation val="minMax"/>
        </c:scaling>
        <c:delete val="1"/>
        <c:axPos val="l"/>
        <c:numFmt formatCode="0.0%" sourceLinked="1"/>
        <c:majorTickMark val="out"/>
        <c:minorTickMark val="none"/>
        <c:tickLblPos val="nextTo"/>
        <c:crossAx val="-1765490000"/>
        <c:crosses val="autoZero"/>
        <c:crossBetween val="between"/>
      </c:valAx>
      <c:spPr>
        <a:solidFill>
          <a:srgbClr val="EEECE1"/>
        </a:solidFill>
        <a:ln>
          <a:noFill/>
        </a:ln>
      </c:spPr>
    </c:plotArea>
    <c:plotVisOnly val="1"/>
    <c:dispBlanksAs val="gap"/>
    <c:showDLblsOverMax val="0"/>
  </c:chart>
  <c:spPr>
    <a:solidFill>
      <a:srgbClr val="EEECE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22" l="0.70000000000000018" r="0.70000000000000018" t="0.75000000000000022" header="0.3000000000000001" footer="0.3000000000000001"/>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pPr>
            <a:r>
              <a:rPr lang="en-US" sz="1400"/>
              <a:t>Nominal Oil Price $US/BBL</a:t>
            </a:r>
          </a:p>
        </c:rich>
      </c:tx>
      <c:overlay val="0"/>
    </c:title>
    <c:autoTitleDeleted val="0"/>
    <c:plotArea>
      <c:layout/>
      <c:scatterChart>
        <c:scatterStyle val="smoothMarker"/>
        <c:varyColors val="0"/>
        <c:ser>
          <c:idx val="0"/>
          <c:order val="0"/>
          <c:tx>
            <c:strRef>
              <c:f>'Price Charts'!$B$38</c:f>
              <c:strCache>
                <c:ptCount val="1"/>
                <c:pt idx="0">
                  <c:v>Base</c:v>
                </c:pt>
              </c:strCache>
            </c:strRef>
          </c:tx>
          <c:marker>
            <c:symbol val="none"/>
          </c:marker>
          <c:xVal>
            <c:numRef>
              <c:f>'Price Charts'!$A$39:$A$67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Charts'!$B$39:$B$67</c:f>
              <c:numCache>
                <c:formatCode>0.00</c:formatCode>
                <c:ptCount val="29"/>
                <c:pt idx="0">
                  <c:v>39.159999999999997</c:v>
                </c:pt>
                <c:pt idx="1">
                  <c:v>68.13</c:v>
                </c:pt>
                <c:pt idx="2">
                  <c:v>94.9</c:v>
                </c:pt>
                <c:pt idx="3">
                  <c:v>85</c:v>
                </c:pt>
                <c:pt idx="4">
                  <c:v>85</c:v>
                </c:pt>
                <c:pt idx="5">
                  <c:v>87.55</c:v>
                </c:pt>
                <c:pt idx="6">
                  <c:v>90.176500000000004</c:v>
                </c:pt>
                <c:pt idx="7">
                  <c:v>92.881795000000011</c:v>
                </c:pt>
                <c:pt idx="8">
                  <c:v>95.668248850000012</c:v>
                </c:pt>
                <c:pt idx="9">
                  <c:v>98.53829631550002</c:v>
                </c:pt>
                <c:pt idx="10">
                  <c:v>101.49444520496502</c:v>
                </c:pt>
                <c:pt idx="11">
                  <c:v>104.53927856111397</c:v>
                </c:pt>
                <c:pt idx="12">
                  <c:v>107.6754569179474</c:v>
                </c:pt>
                <c:pt idx="13">
                  <c:v>110.90572062548583</c:v>
                </c:pt>
                <c:pt idx="14">
                  <c:v>114.23289224425041</c:v>
                </c:pt>
                <c:pt idx="15">
                  <c:v>117.65987901157793</c:v>
                </c:pt>
                <c:pt idx="16">
                  <c:v>121.18967538192527</c:v>
                </c:pt>
                <c:pt idx="17">
                  <c:v>124.82536564338304</c:v>
                </c:pt>
                <c:pt idx="18">
                  <c:v>128.57012661268453</c:v>
                </c:pt>
                <c:pt idx="19">
                  <c:v>132.42723041106507</c:v>
                </c:pt>
                <c:pt idx="20">
                  <c:v>136.40004732339702</c:v>
                </c:pt>
                <c:pt idx="21">
                  <c:v>140.49204874309893</c:v>
                </c:pt>
                <c:pt idx="22">
                  <c:v>144.70681020539192</c:v>
                </c:pt>
                <c:pt idx="23">
                  <c:v>149.04801451155367</c:v>
                </c:pt>
                <c:pt idx="24">
                  <c:v>153.51945494690028</c:v>
                </c:pt>
                <c:pt idx="25">
                  <c:v>158.1250385953073</c:v>
                </c:pt>
                <c:pt idx="26">
                  <c:v>162.86878975316654</c:v>
                </c:pt>
                <c:pt idx="27">
                  <c:v>167.75485344576154</c:v>
                </c:pt>
                <c:pt idx="28">
                  <c:v>172.7874990491344</c:v>
                </c:pt>
              </c:numCache>
            </c:numRef>
          </c:yVal>
          <c:smooth val="1"/>
          <c:extLst>
            <c:ext xmlns:c16="http://schemas.microsoft.com/office/drawing/2014/chart" uri="{C3380CC4-5D6E-409C-BE32-E72D297353CC}">
              <c16:uniqueId val="{00000000-F022-4A4A-8BEE-9C7C15C78E60}"/>
            </c:ext>
          </c:extLst>
        </c:ser>
        <c:ser>
          <c:idx val="1"/>
          <c:order val="1"/>
          <c:tx>
            <c:strRef>
              <c:f>'Price Charts'!$C$38</c:f>
              <c:strCache>
                <c:ptCount val="1"/>
                <c:pt idx="0">
                  <c:v>High Inflation</c:v>
                </c:pt>
              </c:strCache>
            </c:strRef>
          </c:tx>
          <c:marker>
            <c:symbol val="none"/>
          </c:marker>
          <c:xVal>
            <c:numRef>
              <c:f>'Price Charts'!$A$39:$A$67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Charts'!$C$39:$C$67</c:f>
              <c:numCache>
                <c:formatCode>0.00</c:formatCode>
                <c:ptCount val="29"/>
                <c:pt idx="0">
                  <c:v>39.159999999999997</c:v>
                </c:pt>
                <c:pt idx="1">
                  <c:v>68.13</c:v>
                </c:pt>
                <c:pt idx="2">
                  <c:v>94.9</c:v>
                </c:pt>
                <c:pt idx="3">
                  <c:v>85</c:v>
                </c:pt>
                <c:pt idx="4">
                  <c:v>85</c:v>
                </c:pt>
                <c:pt idx="5">
                  <c:v>87.55</c:v>
                </c:pt>
                <c:pt idx="6">
                  <c:v>90.176500000000004</c:v>
                </c:pt>
                <c:pt idx="7">
                  <c:v>92.881795000000011</c:v>
                </c:pt>
                <c:pt idx="8">
                  <c:v>95.668248850000012</c:v>
                </c:pt>
                <c:pt idx="9">
                  <c:v>98.53829631550002</c:v>
                </c:pt>
                <c:pt idx="10">
                  <c:v>101.49444520496502</c:v>
                </c:pt>
                <c:pt idx="11">
                  <c:v>104.53927856111397</c:v>
                </c:pt>
                <c:pt idx="12">
                  <c:v>107.6754569179474</c:v>
                </c:pt>
                <c:pt idx="13">
                  <c:v>110.90572062548583</c:v>
                </c:pt>
                <c:pt idx="14">
                  <c:v>114.23289224425041</c:v>
                </c:pt>
                <c:pt idx="15">
                  <c:v>117.65987901157793</c:v>
                </c:pt>
                <c:pt idx="16">
                  <c:v>121.18967538192527</c:v>
                </c:pt>
                <c:pt idx="17">
                  <c:v>124.82536564338304</c:v>
                </c:pt>
                <c:pt idx="18">
                  <c:v>128.57012661268453</c:v>
                </c:pt>
                <c:pt idx="19">
                  <c:v>132.42723041106507</c:v>
                </c:pt>
                <c:pt idx="20">
                  <c:v>136.40004732339702</c:v>
                </c:pt>
                <c:pt idx="21">
                  <c:v>140.49204874309893</c:v>
                </c:pt>
                <c:pt idx="22">
                  <c:v>144.70681020539192</c:v>
                </c:pt>
                <c:pt idx="23">
                  <c:v>149.04801451155367</c:v>
                </c:pt>
                <c:pt idx="24">
                  <c:v>153.51945494690028</c:v>
                </c:pt>
                <c:pt idx="25">
                  <c:v>158.1250385953073</c:v>
                </c:pt>
                <c:pt idx="26">
                  <c:v>162.86878975316654</c:v>
                </c:pt>
                <c:pt idx="27">
                  <c:v>167.75485344576154</c:v>
                </c:pt>
                <c:pt idx="28">
                  <c:v>172.7874990491344</c:v>
                </c:pt>
              </c:numCache>
            </c:numRef>
          </c:yVal>
          <c:smooth val="1"/>
          <c:extLst>
            <c:ext xmlns:c16="http://schemas.microsoft.com/office/drawing/2014/chart" uri="{C3380CC4-5D6E-409C-BE32-E72D297353CC}">
              <c16:uniqueId val="{00000001-F022-4A4A-8BEE-9C7C15C78E60}"/>
            </c:ext>
          </c:extLst>
        </c:ser>
        <c:ser>
          <c:idx val="2"/>
          <c:order val="2"/>
          <c:tx>
            <c:strRef>
              <c:f>'Price Charts'!$D$38</c:f>
              <c:strCache>
                <c:ptCount val="1"/>
                <c:pt idx="0">
                  <c:v>Base + 3%/y</c:v>
                </c:pt>
              </c:strCache>
            </c:strRef>
          </c:tx>
          <c:marker>
            <c:symbol val="none"/>
          </c:marker>
          <c:xVal>
            <c:numRef>
              <c:f>'Price Charts'!$A$39:$A$67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Charts'!$D$39:$D$67</c:f>
              <c:numCache>
                <c:formatCode>0.00</c:formatCode>
                <c:ptCount val="29"/>
                <c:pt idx="0">
                  <c:v>39.159999999999997</c:v>
                </c:pt>
                <c:pt idx="1">
                  <c:v>68.13</c:v>
                </c:pt>
                <c:pt idx="2">
                  <c:v>94.9</c:v>
                </c:pt>
                <c:pt idx="3">
                  <c:v>85</c:v>
                </c:pt>
                <c:pt idx="4">
                  <c:v>85</c:v>
                </c:pt>
                <c:pt idx="5">
                  <c:v>90.1</c:v>
                </c:pt>
                <c:pt idx="6">
                  <c:v>95.429500000000004</c:v>
                </c:pt>
                <c:pt idx="7">
                  <c:v>100.99768000000002</c:v>
                </c:pt>
                <c:pt idx="8">
                  <c:v>106.81406425000002</c:v>
                </c:pt>
                <c:pt idx="9">
                  <c:v>112.88853364300003</c:v>
                </c:pt>
                <c:pt idx="10">
                  <c:v>119.23133854175504</c:v>
                </c:pt>
                <c:pt idx="11">
                  <c:v>125.85311205415665</c:v>
                </c:pt>
                <c:pt idx="12">
                  <c:v>132.76488377261478</c:v>
                </c:pt>
                <c:pt idx="13">
                  <c:v>139.97809399333164</c:v>
                </c:pt>
                <c:pt idx="14">
                  <c:v>147.5046084318962</c:v>
                </c:pt>
                <c:pt idx="15">
                  <c:v>155.35673345218061</c:v>
                </c:pt>
                <c:pt idx="16">
                  <c:v>163.54723182609337</c:v>
                </c:pt>
                <c:pt idx="17">
                  <c:v>172.08933904233393</c:v>
                </c:pt>
                <c:pt idx="18">
                  <c:v>180.99678018290544</c:v>
                </c:pt>
                <c:pt idx="19">
                  <c:v>190.28378738677316</c:v>
                </c:pt>
                <c:pt idx="20">
                  <c:v>199.96511792070831</c:v>
                </c:pt>
                <c:pt idx="21">
                  <c:v>210.05607287803147</c:v>
                </c:pt>
                <c:pt idx="22">
                  <c:v>220.5725165266654</c:v>
                </c:pt>
                <c:pt idx="23">
                  <c:v>231.53089632862711</c:v>
                </c:pt>
                <c:pt idx="24">
                  <c:v>242.94826365383253</c:v>
                </c:pt>
                <c:pt idx="25">
                  <c:v>254.84229521185452</c:v>
                </c:pt>
                <c:pt idx="26">
                  <c:v>267.23131522606946</c:v>
                </c:pt>
                <c:pt idx="27">
                  <c:v>280.13431837544658</c:v>
                </c:pt>
                <c:pt idx="28">
                  <c:v>293.57099353008289</c:v>
                </c:pt>
              </c:numCache>
            </c:numRef>
          </c:yVal>
          <c:smooth val="1"/>
          <c:extLst>
            <c:ext xmlns:c16="http://schemas.microsoft.com/office/drawing/2014/chart" uri="{C3380CC4-5D6E-409C-BE32-E72D297353CC}">
              <c16:uniqueId val="{00000002-F022-4A4A-8BEE-9C7C15C78E60}"/>
            </c:ext>
          </c:extLst>
        </c:ser>
        <c:ser>
          <c:idx val="3"/>
          <c:order val="3"/>
          <c:tx>
            <c:strRef>
              <c:f>'Price Charts'!$E$38</c:f>
              <c:strCache>
                <c:ptCount val="1"/>
                <c:pt idx="0">
                  <c:v>Base - 1.5%/y</c:v>
                </c:pt>
              </c:strCache>
            </c:strRef>
          </c:tx>
          <c:marker>
            <c:symbol val="none"/>
          </c:marker>
          <c:xVal>
            <c:numRef>
              <c:f>'Price Charts'!$A$39:$A$67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Charts'!$E$39:$E$67</c:f>
              <c:numCache>
                <c:formatCode>0.00</c:formatCode>
                <c:ptCount val="29"/>
                <c:pt idx="0">
                  <c:v>39.159999999999997</c:v>
                </c:pt>
                <c:pt idx="1">
                  <c:v>68.13</c:v>
                </c:pt>
                <c:pt idx="2">
                  <c:v>94.9</c:v>
                </c:pt>
                <c:pt idx="3">
                  <c:v>85</c:v>
                </c:pt>
                <c:pt idx="4">
                  <c:v>85</c:v>
                </c:pt>
                <c:pt idx="5">
                  <c:v>86.274999999999991</c:v>
                </c:pt>
                <c:pt idx="6">
                  <c:v>87.607375000000005</c:v>
                </c:pt>
                <c:pt idx="7">
                  <c:v>88.998559375000013</c:v>
                </c:pt>
                <c:pt idx="8">
                  <c:v>90.450034834375018</c:v>
                </c:pt>
                <c:pt idx="9">
                  <c:v>91.9633317773594</c:v>
                </c:pt>
                <c:pt idx="10">
                  <c:v>93.540030690164002</c:v>
                </c:pt>
                <c:pt idx="11">
                  <c:v>95.181763585960496</c:v>
                </c:pt>
                <c:pt idx="12">
                  <c:v>96.890215489004518</c:v>
                </c:pt>
                <c:pt idx="13">
                  <c:v>98.66712596420787</c:v>
                </c:pt>
                <c:pt idx="14">
                  <c:v>100.51429069350934</c:v>
                </c:pt>
                <c:pt idx="15">
                  <c:v>102.43356310043421</c:v>
                </c:pt>
                <c:pt idx="16">
                  <c:v>104.42685602427504</c:v>
                </c:pt>
                <c:pt idx="17">
                  <c:v>106.49614344536867</c:v>
                </c:pt>
                <c:pt idx="18">
                  <c:v>108.64346226298964</c:v>
                </c:pt>
                <c:pt idx="19">
                  <c:v>110.87091412742534</c:v>
                </c:pt>
                <c:pt idx="20">
                  <c:v>113.18066732784591</c:v>
                </c:pt>
                <c:pt idx="21">
                  <c:v>115.57495873763014</c:v>
                </c:pt>
                <c:pt idx="22">
                  <c:v>118.05609581885867</c:v>
                </c:pt>
                <c:pt idx="23">
                  <c:v>120.62645868773754</c:v>
                </c:pt>
                <c:pt idx="24">
                  <c:v>123.28850224276809</c:v>
                </c:pt>
                <c:pt idx="25">
                  <c:v>126.04475835753358</c:v>
                </c:pt>
                <c:pt idx="26">
                  <c:v>128.89783814002982</c:v>
                </c:pt>
                <c:pt idx="27">
                  <c:v>131.85043426052437</c:v>
                </c:pt>
                <c:pt idx="28">
                  <c:v>134.90532334998935</c:v>
                </c:pt>
              </c:numCache>
            </c:numRef>
          </c:yVal>
          <c:smooth val="1"/>
          <c:extLst>
            <c:ext xmlns:c16="http://schemas.microsoft.com/office/drawing/2014/chart" uri="{C3380CC4-5D6E-409C-BE32-E72D297353CC}">
              <c16:uniqueId val="{00000003-F022-4A4A-8BEE-9C7C15C78E60}"/>
            </c:ext>
          </c:extLst>
        </c:ser>
        <c:ser>
          <c:idx val="4"/>
          <c:order val="4"/>
          <c:tx>
            <c:strRef>
              <c:f>'Price Charts'!$F$38</c:f>
              <c:strCache>
                <c:ptCount val="1"/>
                <c:pt idx="0">
                  <c:v>Flat Real</c:v>
                </c:pt>
              </c:strCache>
            </c:strRef>
          </c:tx>
          <c:marker>
            <c:symbol val="none"/>
          </c:marker>
          <c:xVal>
            <c:numRef>
              <c:f>'Price Charts'!$A$39:$A$67</c:f>
              <c:numCache>
                <c:formatCode>General</c:formatCode>
                <c:ptCount val="29"/>
                <c:pt idx="0">
                  <c:v>2020</c:v>
                </c:pt>
                <c:pt idx="1">
                  <c:v>2021</c:v>
                </c:pt>
                <c:pt idx="2">
                  <c:v>2022</c:v>
                </c:pt>
                <c:pt idx="3">
                  <c:v>2023</c:v>
                </c:pt>
                <c:pt idx="4">
                  <c:v>2024</c:v>
                </c:pt>
                <c:pt idx="5">
                  <c:v>2025</c:v>
                </c:pt>
                <c:pt idx="6">
                  <c:v>2026</c:v>
                </c:pt>
                <c:pt idx="7">
                  <c:v>2027</c:v>
                </c:pt>
                <c:pt idx="8">
                  <c:v>2028</c:v>
                </c:pt>
                <c:pt idx="9">
                  <c:v>2029</c:v>
                </c:pt>
                <c:pt idx="10">
                  <c:v>2030</c:v>
                </c:pt>
                <c:pt idx="11">
                  <c:v>2031</c:v>
                </c:pt>
                <c:pt idx="12">
                  <c:v>2032</c:v>
                </c:pt>
                <c:pt idx="13">
                  <c:v>2033</c:v>
                </c:pt>
                <c:pt idx="14">
                  <c:v>2034</c:v>
                </c:pt>
                <c:pt idx="15">
                  <c:v>2035</c:v>
                </c:pt>
                <c:pt idx="16">
                  <c:v>2036</c:v>
                </c:pt>
                <c:pt idx="17">
                  <c:v>2037</c:v>
                </c:pt>
                <c:pt idx="18">
                  <c:v>2038</c:v>
                </c:pt>
                <c:pt idx="19">
                  <c:v>2039</c:v>
                </c:pt>
                <c:pt idx="20">
                  <c:v>2040</c:v>
                </c:pt>
                <c:pt idx="21">
                  <c:v>2041</c:v>
                </c:pt>
                <c:pt idx="22">
                  <c:v>2042</c:v>
                </c:pt>
                <c:pt idx="23">
                  <c:v>2043</c:v>
                </c:pt>
                <c:pt idx="24">
                  <c:v>2044</c:v>
                </c:pt>
                <c:pt idx="25">
                  <c:v>2045</c:v>
                </c:pt>
                <c:pt idx="26">
                  <c:v>2046</c:v>
                </c:pt>
                <c:pt idx="27">
                  <c:v>2047</c:v>
                </c:pt>
                <c:pt idx="28">
                  <c:v>2048</c:v>
                </c:pt>
              </c:numCache>
            </c:numRef>
          </c:xVal>
          <c:yVal>
            <c:numRef>
              <c:f>'Price Charts'!$F$39:$F$67</c:f>
              <c:numCache>
                <c:formatCode>0.00</c:formatCode>
                <c:ptCount val="29"/>
                <c:pt idx="0">
                  <c:v>39.159999999999997</c:v>
                </c:pt>
                <c:pt idx="1">
                  <c:v>68.13</c:v>
                </c:pt>
                <c:pt idx="2">
                  <c:v>94.9</c:v>
                </c:pt>
                <c:pt idx="3">
                  <c:v>85</c:v>
                </c:pt>
                <c:pt idx="4">
                  <c:v>87.124999999999986</c:v>
                </c:pt>
                <c:pt idx="5">
                  <c:v>89.30312499999998</c:v>
                </c:pt>
                <c:pt idx="6">
                  <c:v>91.535703124999969</c:v>
                </c:pt>
                <c:pt idx="7">
                  <c:v>93.824095703124954</c:v>
                </c:pt>
                <c:pt idx="8">
                  <c:v>96.169698095703069</c:v>
                </c:pt>
                <c:pt idx="9">
                  <c:v>98.573940548095635</c:v>
                </c:pt>
                <c:pt idx="10">
                  <c:v>101.03828906179801</c:v>
                </c:pt>
                <c:pt idx="11">
                  <c:v>103.56424628834296</c:v>
                </c:pt>
                <c:pt idx="12">
                  <c:v>106.15335244555152</c:v>
                </c:pt>
                <c:pt idx="13">
                  <c:v>108.8071862566903</c:v>
                </c:pt>
                <c:pt idx="14">
                  <c:v>111.52736591310754</c:v>
                </c:pt>
                <c:pt idx="15">
                  <c:v>114.31555006093522</c:v>
                </c:pt>
                <c:pt idx="16">
                  <c:v>117.1734388124586</c:v>
                </c:pt>
                <c:pt idx="17">
                  <c:v>120.10277478277006</c:v>
                </c:pt>
                <c:pt idx="18">
                  <c:v>123.1053441523393</c:v>
                </c:pt>
                <c:pt idx="19">
                  <c:v>126.18297775614776</c:v>
                </c:pt>
                <c:pt idx="20">
                  <c:v>129.33755220005145</c:v>
                </c:pt>
                <c:pt idx="21">
                  <c:v>132.57099100505272</c:v>
                </c:pt>
                <c:pt idx="22">
                  <c:v>135.88526578017903</c:v>
                </c:pt>
                <c:pt idx="23">
                  <c:v>139.2823974246835</c:v>
                </c:pt>
                <c:pt idx="24">
                  <c:v>142.76445736030058</c:v>
                </c:pt>
                <c:pt idx="25">
                  <c:v>146.33356879430809</c:v>
                </c:pt>
                <c:pt idx="26">
                  <c:v>149.99190801416577</c:v>
                </c:pt>
                <c:pt idx="27">
                  <c:v>153.7417057145199</c:v>
                </c:pt>
                <c:pt idx="28">
                  <c:v>157.58524835738288</c:v>
                </c:pt>
              </c:numCache>
            </c:numRef>
          </c:yVal>
          <c:smooth val="1"/>
          <c:extLst>
            <c:ext xmlns:c16="http://schemas.microsoft.com/office/drawing/2014/chart" uri="{C3380CC4-5D6E-409C-BE32-E72D297353CC}">
              <c16:uniqueId val="{00000004-F022-4A4A-8BEE-9C7C15C78E60}"/>
            </c:ext>
          </c:extLst>
        </c:ser>
        <c:dLbls>
          <c:showLegendKey val="0"/>
          <c:showVal val="0"/>
          <c:showCatName val="0"/>
          <c:showSerName val="0"/>
          <c:showPercent val="0"/>
          <c:showBubbleSize val="0"/>
        </c:dLbls>
        <c:axId val="-1765495984"/>
        <c:axId val="-1765500880"/>
      </c:scatterChart>
      <c:valAx>
        <c:axId val="-1765495984"/>
        <c:scaling>
          <c:orientation val="minMax"/>
          <c:min val="2020"/>
        </c:scaling>
        <c:delete val="0"/>
        <c:axPos val="b"/>
        <c:numFmt formatCode="General"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1765500880"/>
        <c:crosses val="autoZero"/>
        <c:crossBetween val="midCat"/>
      </c:valAx>
      <c:valAx>
        <c:axId val="-1765500880"/>
        <c:scaling>
          <c:orientation val="minMax"/>
        </c:scaling>
        <c:delete val="0"/>
        <c:axPos val="l"/>
        <c:majorGridlines/>
        <c:numFmt formatCode="0" sourceLinked="0"/>
        <c:majorTickMark val="out"/>
        <c:minorTickMark val="none"/>
        <c:tickLblPos val="nextTo"/>
        <c:crossAx val="-1765495984"/>
        <c:crosses val="autoZero"/>
        <c:crossBetween val="midCat"/>
      </c:valAx>
      <c:spPr>
        <a:solidFill>
          <a:schemeClr val="bg1">
            <a:lumMod val="95000"/>
          </a:schemeClr>
        </a:solidFill>
      </c:spPr>
    </c:plotArea>
    <c:plotVisOnly val="1"/>
    <c:dispBlanksAs val="gap"/>
    <c:showDLblsOverMax val="0"/>
  </c:chart>
  <c:spPr>
    <a:solidFill>
      <a:schemeClr val="bg1">
        <a:lumMod val="95000"/>
      </a:schemeClr>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emf"/><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image" Target="../media/image9.jpeg"/></Relationships>
</file>

<file path=xl/drawings/_rels/drawing4.xml.rels><?xml version="1.0" encoding="UTF-8" standalone="yes"?>
<Relationships xmlns="http://schemas.openxmlformats.org/package/2006/relationships"><Relationship Id="rId3" Type="http://schemas.openxmlformats.org/officeDocument/2006/relationships/image" Target="../media/image13.jpeg"/><Relationship Id="rId7" Type="http://schemas.openxmlformats.org/officeDocument/2006/relationships/image" Target="../media/image17.emf"/><Relationship Id="rId2" Type="http://schemas.openxmlformats.org/officeDocument/2006/relationships/image" Target="../media/image12.jpeg"/><Relationship Id="rId1" Type="http://schemas.openxmlformats.org/officeDocument/2006/relationships/image" Target="../media/image11.jpeg"/><Relationship Id="rId6" Type="http://schemas.openxmlformats.org/officeDocument/2006/relationships/image" Target="../media/image16.jpeg"/><Relationship Id="rId5" Type="http://schemas.openxmlformats.org/officeDocument/2006/relationships/image" Target="../media/image15.jpeg"/><Relationship Id="rId4"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7.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4" Type="http://schemas.openxmlformats.org/officeDocument/2006/relationships/chart" Target="../charts/chart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drawing1.xml><?xml version="1.0" encoding="utf-8"?>
<xdr:wsDr xmlns:xdr="http://schemas.openxmlformats.org/drawingml/2006/spreadsheetDrawing" xmlns:a="http://schemas.openxmlformats.org/drawingml/2006/main">
  <xdr:twoCellAnchor editAs="oneCell">
    <xdr:from>
      <xdr:col>14</xdr:col>
      <xdr:colOff>551031</xdr:colOff>
      <xdr:row>34</xdr:row>
      <xdr:rowOff>0</xdr:rowOff>
    </xdr:from>
    <xdr:to>
      <xdr:col>19</xdr:col>
      <xdr:colOff>375046</xdr:colOff>
      <xdr:row>54</xdr:row>
      <xdr:rowOff>23020</xdr:rowOff>
    </xdr:to>
    <xdr:pic>
      <xdr:nvPicPr>
        <xdr:cNvPr id="3047719" name="Picture 6">
          <a:extLst>
            <a:ext uri="{FF2B5EF4-FFF2-40B4-BE49-F238E27FC236}">
              <a16:creationId xmlns:a16="http://schemas.microsoft.com/office/drawing/2014/main" id="{00000000-0008-0000-0000-000027812E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040312" y="7500938"/>
          <a:ext cx="3604250" cy="3594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0</xdr:colOff>
      <xdr:row>38</xdr:row>
      <xdr:rowOff>0</xdr:rowOff>
    </xdr:from>
    <xdr:to>
      <xdr:col>6</xdr:col>
      <xdr:colOff>304800</xdr:colOff>
      <xdr:row>39</xdr:row>
      <xdr:rowOff>114299</xdr:rowOff>
    </xdr:to>
    <xdr:sp macro="" textlink="">
      <xdr:nvSpPr>
        <xdr:cNvPr id="3047722" name="AutoShape 4" descr="Goliat FPSO ">
          <a:extLst>
            <a:ext uri="{FF2B5EF4-FFF2-40B4-BE49-F238E27FC236}">
              <a16:creationId xmlns:a16="http://schemas.microsoft.com/office/drawing/2014/main" id="{00000000-0008-0000-0000-00002A812E00}"/>
            </a:ext>
          </a:extLst>
        </xdr:cNvPr>
        <xdr:cNvSpPr>
          <a:spLocks noChangeAspect="1" noChangeArrowheads="1"/>
        </xdr:cNvSpPr>
      </xdr:nvSpPr>
      <xdr:spPr bwMode="auto">
        <a:xfrm>
          <a:off x="3867150" y="6372225"/>
          <a:ext cx="304800" cy="304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1</xdr:col>
      <xdr:colOff>517323</xdr:colOff>
      <xdr:row>34</xdr:row>
      <xdr:rowOff>0</xdr:rowOff>
    </xdr:from>
    <xdr:to>
      <xdr:col>7</xdr:col>
      <xdr:colOff>0</xdr:colOff>
      <xdr:row>54</xdr:row>
      <xdr:rowOff>28125</xdr:rowOff>
    </xdr:to>
    <xdr:pic>
      <xdr:nvPicPr>
        <xdr:cNvPr id="3047725" name="Picture 14">
          <a:extLst>
            <a:ext uri="{FF2B5EF4-FFF2-40B4-BE49-F238E27FC236}">
              <a16:creationId xmlns:a16="http://schemas.microsoft.com/office/drawing/2014/main" id="{00000000-0008-0000-0000-00002D812E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63974" y="7287936"/>
          <a:ext cx="3594157" cy="361092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34</xdr:row>
      <xdr:rowOff>0</xdr:rowOff>
    </xdr:from>
    <xdr:to>
      <xdr:col>13</xdr:col>
      <xdr:colOff>355546</xdr:colOff>
      <xdr:row>54</xdr:row>
      <xdr:rowOff>28125</xdr:rowOff>
    </xdr:to>
    <xdr:pic>
      <xdr:nvPicPr>
        <xdr:cNvPr id="3047727" name="Picture 17">
          <a:extLst>
            <a:ext uri="{FF2B5EF4-FFF2-40B4-BE49-F238E27FC236}">
              <a16:creationId xmlns:a16="http://schemas.microsoft.com/office/drawing/2014/main" id="{00000000-0008-0000-0000-00002F812E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17344" y="7268766"/>
          <a:ext cx="3600000" cy="3600000"/>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0</xdr:colOff>
      <xdr:row>55</xdr:row>
      <xdr:rowOff>0</xdr:rowOff>
    </xdr:from>
    <xdr:to>
      <xdr:col>6</xdr:col>
      <xdr:colOff>1</xdr:colOff>
      <xdr:row>58</xdr:row>
      <xdr:rowOff>0</xdr:rowOff>
    </xdr:to>
    <xdr:sp macro="" textlink="">
      <xdr:nvSpPr>
        <xdr:cNvPr id="19" name="TextBox 18">
          <a:extLst>
            <a:ext uri="{FF2B5EF4-FFF2-40B4-BE49-F238E27FC236}">
              <a16:creationId xmlns:a16="http://schemas.microsoft.com/office/drawing/2014/main" id="{00000000-0008-0000-0000-000013000000}"/>
            </a:ext>
          </a:extLst>
        </xdr:cNvPr>
        <xdr:cNvSpPr txBox="1"/>
      </xdr:nvSpPr>
      <xdr:spPr>
        <a:xfrm>
          <a:off x="1297781" y="11251406"/>
          <a:ext cx="2821783" cy="535782"/>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algn="ctr" defTabSz="914400" eaLnBrk="1" fontAlgn="auto" latinLnBrk="0" hangingPunct="1">
            <a:lnSpc>
              <a:spcPct val="100000"/>
            </a:lnSpc>
            <a:spcBef>
              <a:spcPts val="0"/>
            </a:spcBef>
            <a:spcAft>
              <a:spcPts val="0"/>
            </a:spcAft>
            <a:buClrTx/>
            <a:buSzTx/>
            <a:buFontTx/>
            <a:buNone/>
            <a:tabLst/>
            <a:defRPr/>
          </a:pPr>
          <a:r>
            <a:rPr lang="en-GB" sz="1100" baseline="0">
              <a:solidFill>
                <a:schemeClr val="dk1"/>
              </a:solidFill>
              <a:effectLst/>
              <a:latin typeface="+mn-lt"/>
              <a:ea typeface="+mn-ea"/>
              <a:cs typeface="+mn-cs"/>
            </a:rPr>
            <a:t>Deepwater Oil</a:t>
          </a:r>
          <a:r>
            <a:rPr lang="en-GB" sz="1100"/>
            <a:t> Floating</a:t>
          </a:r>
          <a:r>
            <a:rPr lang="en-GB" sz="1100" baseline="0"/>
            <a:t> Production Storage and Offloading (FPSO) </a:t>
          </a:r>
          <a:endParaRPr lang="en-GB" sz="1100"/>
        </a:p>
      </xdr:txBody>
    </xdr:sp>
    <xdr:clientData/>
  </xdr:twoCellAnchor>
  <xdr:twoCellAnchor>
    <xdr:from>
      <xdr:col>9</xdr:col>
      <xdr:colOff>67759</xdr:colOff>
      <xdr:row>55</xdr:row>
      <xdr:rowOff>0</xdr:rowOff>
    </xdr:from>
    <xdr:to>
      <xdr:col>12</xdr:col>
      <xdr:colOff>0</xdr:colOff>
      <xdr:row>58</xdr:row>
      <xdr:rowOff>0</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6133994" y="11251406"/>
          <a:ext cx="1878912" cy="53578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 Gas Subsea  to Infrastructure</a:t>
          </a:r>
        </a:p>
      </xdr:txBody>
    </xdr:sp>
    <xdr:clientData/>
  </xdr:twoCellAnchor>
  <xdr:twoCellAnchor>
    <xdr:from>
      <xdr:col>15</xdr:col>
      <xdr:colOff>792446</xdr:colOff>
      <xdr:row>55</xdr:row>
      <xdr:rowOff>0</xdr:rowOff>
    </xdr:from>
    <xdr:to>
      <xdr:col>18</xdr:col>
      <xdr:colOff>285751</xdr:colOff>
      <xdr:row>58</xdr:row>
      <xdr:rowOff>0</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11055634" y="11251406"/>
          <a:ext cx="1850742" cy="535782"/>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Deepwater Oil Cylindrical</a:t>
          </a:r>
          <a:r>
            <a:rPr lang="en-GB" sz="1100" baseline="0"/>
            <a:t> FPSO</a:t>
          </a:r>
          <a:endParaRPr lang="en-GB" sz="1100"/>
        </a:p>
      </xdr:txBody>
    </xdr:sp>
    <xdr:clientData/>
  </xdr:twoCellAnchor>
  <xdr:twoCellAnchor>
    <xdr:from>
      <xdr:col>1</xdr:col>
      <xdr:colOff>232172</xdr:colOff>
      <xdr:row>12</xdr:row>
      <xdr:rowOff>43423</xdr:rowOff>
    </xdr:from>
    <xdr:to>
      <xdr:col>20</xdr:col>
      <xdr:colOff>0</xdr:colOff>
      <xdr:row>14</xdr:row>
      <xdr:rowOff>1</xdr:rowOff>
    </xdr:to>
    <xdr:sp macro="" textlink="">
      <xdr:nvSpPr>
        <xdr:cNvPr id="6" name="TextBox 5">
          <a:extLst>
            <a:ext uri="{FF2B5EF4-FFF2-40B4-BE49-F238E27FC236}">
              <a16:creationId xmlns:a16="http://schemas.microsoft.com/office/drawing/2014/main" id="{00000000-0008-0000-0000-000006000000}"/>
            </a:ext>
          </a:extLst>
        </xdr:cNvPr>
        <xdr:cNvSpPr txBox="1"/>
      </xdr:nvSpPr>
      <xdr:spPr>
        <a:xfrm>
          <a:off x="881063" y="2448486"/>
          <a:ext cx="13037343" cy="545938"/>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2800" b="1"/>
            <a:t>Oil and Gas Exploration Economics Model</a:t>
          </a:r>
        </a:p>
      </xdr:txBody>
    </xdr:sp>
    <xdr:clientData/>
  </xdr:twoCellAnchor>
  <xdr:twoCellAnchor>
    <xdr:from>
      <xdr:col>14</xdr:col>
      <xdr:colOff>577454</xdr:colOff>
      <xdr:row>14</xdr:row>
      <xdr:rowOff>227860</xdr:rowOff>
    </xdr:from>
    <xdr:to>
      <xdr:col>19</xdr:col>
      <xdr:colOff>397219</xdr:colOff>
      <xdr:row>31</xdr:row>
      <xdr:rowOff>0</xdr:rowOff>
    </xdr:to>
    <xdr:pic>
      <xdr:nvPicPr>
        <xdr:cNvPr id="4" name="Picture 1">
          <a:extLst>
            <a:ext uri="{FF2B5EF4-FFF2-40B4-BE49-F238E27FC236}">
              <a16:creationId xmlns:a16="http://schemas.microsoft.com/office/drawing/2014/main" id="{B7DF0236-5AC8-4569-AB9D-215EA969361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0066735" y="3222283"/>
          <a:ext cx="3600000" cy="3599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14</xdr:row>
      <xdr:rowOff>257625</xdr:rowOff>
    </xdr:from>
    <xdr:to>
      <xdr:col>13</xdr:col>
      <xdr:colOff>355546</xdr:colOff>
      <xdr:row>31</xdr:row>
      <xdr:rowOff>29765</xdr:rowOff>
    </xdr:to>
    <xdr:pic>
      <xdr:nvPicPr>
        <xdr:cNvPr id="3047721" name="Picture 2">
          <a:extLst>
            <a:ext uri="{FF2B5EF4-FFF2-40B4-BE49-F238E27FC236}">
              <a16:creationId xmlns:a16="http://schemas.microsoft.com/office/drawing/2014/main" id="{00000000-0008-0000-0000-000029812E00}"/>
            </a:ext>
          </a:extLst>
        </xdr:cNvPr>
        <xdr:cNvPicPr>
          <a:picLocks/>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5417344" y="3252048"/>
          <a:ext cx="3600000" cy="3599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519563</xdr:colOff>
      <xdr:row>14</xdr:row>
      <xdr:rowOff>227860</xdr:rowOff>
    </xdr:from>
    <xdr:to>
      <xdr:col>7</xdr:col>
      <xdr:colOff>0</xdr:colOff>
      <xdr:row>31</xdr:row>
      <xdr:rowOff>0</xdr:rowOff>
    </xdr:to>
    <xdr:pic>
      <xdr:nvPicPr>
        <xdr:cNvPr id="3047737" name="Picture 25">
          <a:extLst>
            <a:ext uri="{FF2B5EF4-FFF2-40B4-BE49-F238E27FC236}">
              <a16:creationId xmlns:a16="http://schemas.microsoft.com/office/drawing/2014/main" id="{00000000-0008-0000-0000-000039812E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168454" y="3222283"/>
          <a:ext cx="3600000" cy="35999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0</xdr:colOff>
      <xdr:row>32</xdr:row>
      <xdr:rowOff>0</xdr:rowOff>
    </xdr:from>
    <xdr:to>
      <xdr:col>13</xdr:col>
      <xdr:colOff>103546</xdr:colOff>
      <xdr:row>33</xdr:row>
      <xdr:rowOff>109407</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5417344" y="7000875"/>
          <a:ext cx="3348000" cy="288001"/>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Semi-Submersible Deepwater</a:t>
          </a:r>
          <a:r>
            <a:rPr lang="en-GB" sz="1100" baseline="0"/>
            <a:t> Gas Production System</a:t>
          </a:r>
          <a:endParaRPr lang="en-GB" sz="1100"/>
        </a:p>
      </xdr:txBody>
    </xdr:sp>
    <xdr:clientData/>
  </xdr:twoCellAnchor>
  <xdr:twoCellAnchor>
    <xdr:from>
      <xdr:col>15</xdr:col>
      <xdr:colOff>0</xdr:colOff>
      <xdr:row>32</xdr:row>
      <xdr:rowOff>0</xdr:rowOff>
    </xdr:from>
    <xdr:to>
      <xdr:col>19</xdr:col>
      <xdr:colOff>341672</xdr:colOff>
      <xdr:row>33</xdr:row>
      <xdr:rowOff>109406</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0263188" y="7000875"/>
          <a:ext cx="3348000" cy="288000"/>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SPAR Deepwater Gas Production System</a:t>
          </a:r>
        </a:p>
      </xdr:txBody>
    </xdr:sp>
    <xdr:clientData/>
  </xdr:twoCellAnchor>
  <xdr:twoCellAnchor>
    <xdr:from>
      <xdr:col>2</xdr:col>
      <xdr:colOff>291703</xdr:colOff>
      <xdr:row>31</xdr:row>
      <xdr:rowOff>146577</xdr:rowOff>
    </xdr:from>
    <xdr:to>
      <xdr:col>6</xdr:col>
      <xdr:colOff>169030</xdr:colOff>
      <xdr:row>33</xdr:row>
      <xdr:rowOff>77390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589484" y="6968858"/>
          <a:ext cx="2699109" cy="288001"/>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t>Shallow Water Minimal</a:t>
          </a:r>
          <a:r>
            <a:rPr lang="en-GB" sz="1100" baseline="0"/>
            <a:t> Process Gas Platform</a:t>
          </a:r>
          <a:r>
            <a:rPr lang="en-GB" sz="1100"/>
            <a:t> </a:t>
          </a:r>
        </a:p>
      </xdr:txBody>
    </xdr:sp>
    <xdr:clientData/>
  </xdr:twoCellAnchor>
  <xdr:twoCellAnchor editAs="oneCell">
    <xdr:from>
      <xdr:col>4</xdr:col>
      <xdr:colOff>589360</xdr:colOff>
      <xdr:row>0</xdr:row>
      <xdr:rowOff>83343</xdr:rowOff>
    </xdr:from>
    <xdr:to>
      <xdr:col>15</xdr:col>
      <xdr:colOff>920353</xdr:colOff>
      <xdr:row>11</xdr:row>
      <xdr:rowOff>27016</xdr:rowOff>
    </xdr:to>
    <xdr:pic>
      <xdr:nvPicPr>
        <xdr:cNvPr id="8" name="Picture 7">
          <a:extLst>
            <a:ext uri="{FF2B5EF4-FFF2-40B4-BE49-F238E27FC236}">
              <a16:creationId xmlns:a16="http://schemas.microsoft.com/office/drawing/2014/main" id="{050433F5-576C-BAB2-A73E-198548BF62E2}"/>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3411141" y="83343"/>
          <a:ext cx="7772400" cy="2170142"/>
        </a:xfrm>
        <a:prstGeom prst="rect">
          <a:avLst/>
        </a:prstGeom>
      </xdr:spPr>
    </xdr:pic>
    <xdr:clientData/>
  </xdr:twoCellAnchor>
  <xdr:oneCellAnchor>
    <xdr:from>
      <xdr:col>4</xdr:col>
      <xdr:colOff>0</xdr:colOff>
      <xdr:row>59</xdr:row>
      <xdr:rowOff>0</xdr:rowOff>
    </xdr:from>
    <xdr:ext cx="184731" cy="264560"/>
    <xdr:sp macro="" textlink="">
      <xdr:nvSpPr>
        <xdr:cNvPr id="12" name="TextBox 11">
          <a:extLst>
            <a:ext uri="{FF2B5EF4-FFF2-40B4-BE49-F238E27FC236}">
              <a16:creationId xmlns:a16="http://schemas.microsoft.com/office/drawing/2014/main" id="{D655858C-B4FB-F366-8147-CB6BFD15F0DB}"/>
            </a:ext>
          </a:extLst>
        </xdr:cNvPr>
        <xdr:cNvSpPr txBox="1"/>
      </xdr:nvSpPr>
      <xdr:spPr>
        <a:xfrm>
          <a:off x="2821781" y="1196578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GB"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0</xdr:colOff>
      <xdr:row>17</xdr:row>
      <xdr:rowOff>184150</xdr:rowOff>
    </xdr:from>
    <xdr:to>
      <xdr:col>5</xdr:col>
      <xdr:colOff>304799</xdr:colOff>
      <xdr:row>20</xdr:row>
      <xdr:rowOff>182564</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0" y="3422650"/>
          <a:ext cx="3360737" cy="569914"/>
        </a:xfrm>
        <a:prstGeom prst="rect">
          <a:avLst/>
        </a:prstGeom>
        <a:solidFill>
          <a:schemeClr val="tx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n-GB" sz="1000"/>
            <a:t>Zoom and Scroll to Explore Map</a:t>
          </a:r>
          <a:r>
            <a:rPr lang="en-GB" sz="850"/>
            <a:t>.  It</a:t>
          </a:r>
          <a:r>
            <a:rPr lang="en-GB" sz="850" baseline="0"/>
            <a:t> is recommended that Users Minimize the Ribbon (right click in menu area) and Hide the Formula Bar (deselect View Formula Bar) to Maximise Viewing </a:t>
          </a:r>
          <a:r>
            <a:rPr lang="en-GB" sz="1000" baseline="0"/>
            <a:t>Area</a:t>
          </a:r>
          <a:endParaRPr lang="en-GB" sz="1000"/>
        </a:p>
      </xdr:txBody>
    </xdr:sp>
    <xdr:clientData/>
  </xdr:twoCellAnchor>
  <xdr:twoCellAnchor editAs="oneCell">
    <xdr:from>
      <xdr:col>0</xdr:col>
      <xdr:colOff>68035</xdr:colOff>
      <xdr:row>27</xdr:row>
      <xdr:rowOff>37140</xdr:rowOff>
    </xdr:from>
    <xdr:to>
      <xdr:col>43</xdr:col>
      <xdr:colOff>166165</xdr:colOff>
      <xdr:row>105</xdr:row>
      <xdr:rowOff>95250</xdr:rowOff>
    </xdr:to>
    <xdr:pic>
      <xdr:nvPicPr>
        <xdr:cNvPr id="5" name="Picture 4">
          <a:extLst>
            <a:ext uri="{FF2B5EF4-FFF2-40B4-BE49-F238E27FC236}">
              <a16:creationId xmlns:a16="http://schemas.microsoft.com/office/drawing/2014/main" id="{5A31ACA7-6363-3117-F5FC-6D854C40352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68035" y="5180640"/>
          <a:ext cx="26427951" cy="1491711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1338262</xdr:colOff>
      <xdr:row>56</xdr:row>
      <xdr:rowOff>166688</xdr:rowOff>
    </xdr:from>
    <xdr:to>
      <xdr:col>3</xdr:col>
      <xdr:colOff>6605587</xdr:colOff>
      <xdr:row>58</xdr:row>
      <xdr:rowOff>471488</xdr:rowOff>
    </xdr:to>
    <xdr:pic>
      <xdr:nvPicPr>
        <xdr:cNvPr id="408862" name="Picture 2">
          <a:extLst>
            <a:ext uri="{FF2B5EF4-FFF2-40B4-BE49-F238E27FC236}">
              <a16:creationId xmlns:a16="http://schemas.microsoft.com/office/drawing/2014/main" id="{00000000-0008-0000-0200-00001E3D06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214687" y="20231101"/>
          <a:ext cx="526732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0</xdr:colOff>
      <xdr:row>45</xdr:row>
      <xdr:rowOff>49183</xdr:rowOff>
    </xdr:from>
    <xdr:to>
      <xdr:col>4</xdr:col>
      <xdr:colOff>0</xdr:colOff>
      <xdr:row>55</xdr:row>
      <xdr:rowOff>0</xdr:rowOff>
    </xdr:to>
    <xdr:pic>
      <xdr:nvPicPr>
        <xdr:cNvPr id="3" name="Picture 2">
          <a:extLst>
            <a:ext uri="{FF2B5EF4-FFF2-40B4-BE49-F238E27FC236}">
              <a16:creationId xmlns:a16="http://schemas.microsoft.com/office/drawing/2014/main" id="{CD3D7937-1454-47C6-8DF5-E1FA45EAE8D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876425" y="17713296"/>
          <a:ext cx="8134350" cy="217014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9</xdr:col>
      <xdr:colOff>613835</xdr:colOff>
      <xdr:row>26</xdr:row>
      <xdr:rowOff>359834</xdr:rowOff>
    </xdr:from>
    <xdr:to>
      <xdr:col>12</xdr:col>
      <xdr:colOff>449645</xdr:colOff>
      <xdr:row>34</xdr:row>
      <xdr:rowOff>1000125</xdr:rowOff>
    </xdr:to>
    <xdr:pic>
      <xdr:nvPicPr>
        <xdr:cNvPr id="3" name="Picture 2" descr="Equinor Starts Up Deepest Field on Norwegian Continental Shelf - Offshore  Energy">
          <a:extLst>
            <a:ext uri="{FF2B5EF4-FFF2-40B4-BE49-F238E27FC236}">
              <a16:creationId xmlns:a16="http://schemas.microsoft.com/office/drawing/2014/main" id="{96F3AE69-9A5C-D479-0E0D-A18413B710A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rot="10800000" flipV="1">
          <a:off x="11218335" y="7328960"/>
          <a:ext cx="1772560" cy="24659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461433</xdr:colOff>
      <xdr:row>4</xdr:row>
      <xdr:rowOff>10583</xdr:rowOff>
    </xdr:from>
    <xdr:to>
      <xdr:col>12</xdr:col>
      <xdr:colOff>33867</xdr:colOff>
      <xdr:row>14</xdr:row>
      <xdr:rowOff>77257</xdr:rowOff>
    </xdr:to>
    <xdr:pic>
      <xdr:nvPicPr>
        <xdr:cNvPr id="1135584" name="Picture 15">
          <a:extLst>
            <a:ext uri="{FF2B5EF4-FFF2-40B4-BE49-F238E27FC236}">
              <a16:creationId xmlns:a16="http://schemas.microsoft.com/office/drawing/2014/main" id="{00000000-0008-0000-0300-0000E05311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557683" y="767292"/>
          <a:ext cx="3223684" cy="27336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53</xdr:row>
      <xdr:rowOff>86783</xdr:rowOff>
    </xdr:from>
    <xdr:to>
      <xdr:col>12</xdr:col>
      <xdr:colOff>314325</xdr:colOff>
      <xdr:row>64</xdr:row>
      <xdr:rowOff>96307</xdr:rowOff>
    </xdr:to>
    <xdr:pic>
      <xdr:nvPicPr>
        <xdr:cNvPr id="1135585" name="Picture 16">
          <a:extLst>
            <a:ext uri="{FF2B5EF4-FFF2-40B4-BE49-F238E27FC236}">
              <a16:creationId xmlns:a16="http://schemas.microsoft.com/office/drawing/2014/main" id="{00000000-0008-0000-0300-0000E15311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8910108" y="14353116"/>
          <a:ext cx="3183467" cy="210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200025</xdr:colOff>
      <xdr:row>34</xdr:row>
      <xdr:rowOff>1076325</xdr:rowOff>
    </xdr:from>
    <xdr:to>
      <xdr:col>11</xdr:col>
      <xdr:colOff>428625</xdr:colOff>
      <xdr:row>37</xdr:row>
      <xdr:rowOff>161925</xdr:rowOff>
    </xdr:to>
    <xdr:pic>
      <xdr:nvPicPr>
        <xdr:cNvPr id="1135587" name="Picture 17">
          <a:extLst>
            <a:ext uri="{FF2B5EF4-FFF2-40B4-BE49-F238E27FC236}">
              <a16:creationId xmlns:a16="http://schemas.microsoft.com/office/drawing/2014/main" id="{00000000-0008-0000-0300-0000E35311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13358" y="9871075"/>
          <a:ext cx="2810934" cy="1429809"/>
        </a:xfrm>
        <a:prstGeom prst="rect">
          <a:avLst/>
        </a:prstGeom>
        <a:solidFill>
          <a:srgbClr val="B9CDE5"/>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188383</xdr:colOff>
      <xdr:row>40</xdr:row>
      <xdr:rowOff>30692</xdr:rowOff>
    </xdr:from>
    <xdr:to>
      <xdr:col>11</xdr:col>
      <xdr:colOff>478366</xdr:colOff>
      <xdr:row>51</xdr:row>
      <xdr:rowOff>97365</xdr:rowOff>
    </xdr:to>
    <xdr:pic>
      <xdr:nvPicPr>
        <xdr:cNvPr id="1135588" name="Picture 2">
          <a:extLst>
            <a:ext uri="{FF2B5EF4-FFF2-40B4-BE49-F238E27FC236}">
              <a16:creationId xmlns:a16="http://schemas.microsoft.com/office/drawing/2014/main" id="{00000000-0008-0000-0300-0000E45311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98466" y="11936942"/>
          <a:ext cx="2745317" cy="204575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257175</xdr:colOff>
      <xdr:row>62</xdr:row>
      <xdr:rowOff>95250</xdr:rowOff>
    </xdr:from>
    <xdr:to>
      <xdr:col>4</xdr:col>
      <xdr:colOff>409575</xdr:colOff>
      <xdr:row>76</xdr:row>
      <xdr:rowOff>95249</xdr:rowOff>
    </xdr:to>
    <xdr:pic>
      <xdr:nvPicPr>
        <xdr:cNvPr id="1135589" name="Picture 7">
          <a:extLst>
            <a:ext uri="{FF2B5EF4-FFF2-40B4-BE49-F238E27FC236}">
              <a16:creationId xmlns:a16="http://schemas.microsoft.com/office/drawing/2014/main" id="{00000000-0008-0000-0300-0000E55311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352800" y="16078200"/>
          <a:ext cx="3476625" cy="2667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7</xdr:col>
      <xdr:colOff>337609</xdr:colOff>
      <xdr:row>49</xdr:row>
      <xdr:rowOff>134407</xdr:rowOff>
    </xdr:from>
    <xdr:to>
      <xdr:col>11</xdr:col>
      <xdr:colOff>171450</xdr:colOff>
      <xdr:row>50</xdr:row>
      <xdr:rowOff>162982</xdr:rowOff>
    </xdr:to>
    <xdr:sp macro="" textlink="">
      <xdr:nvSpPr>
        <xdr:cNvPr id="10" name="TextBox 9">
          <a:extLst>
            <a:ext uri="{FF2B5EF4-FFF2-40B4-BE49-F238E27FC236}">
              <a16:creationId xmlns:a16="http://schemas.microsoft.com/office/drawing/2014/main" id="{00000000-0008-0000-0300-00000A000000}"/>
            </a:ext>
          </a:extLst>
        </xdr:cNvPr>
        <xdr:cNvSpPr txBox="1"/>
      </xdr:nvSpPr>
      <xdr:spPr>
        <a:xfrm>
          <a:off x="9047692" y="13638740"/>
          <a:ext cx="2289175" cy="219075"/>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Huntingdon</a:t>
          </a:r>
          <a:r>
            <a:rPr lang="en-GB" sz="1100" baseline="0"/>
            <a:t> Field FPSO UK North Sea</a:t>
          </a:r>
          <a:endParaRPr lang="en-GB" sz="1100"/>
        </a:p>
      </xdr:txBody>
    </xdr:sp>
    <xdr:clientData/>
  </xdr:twoCellAnchor>
  <xdr:oneCellAnchor>
    <xdr:from>
      <xdr:col>8</xdr:col>
      <xdr:colOff>200025</xdr:colOff>
      <xdr:row>62</xdr:row>
      <xdr:rowOff>123825</xdr:rowOff>
    </xdr:from>
    <xdr:ext cx="2020297" cy="264560"/>
    <xdr:sp macro="" textlink="">
      <xdr:nvSpPr>
        <xdr:cNvPr id="11" name="TextBox 10">
          <a:extLst>
            <a:ext uri="{FF2B5EF4-FFF2-40B4-BE49-F238E27FC236}">
              <a16:creationId xmlns:a16="http://schemas.microsoft.com/office/drawing/2014/main" id="{00000000-0008-0000-0300-00000B000000}"/>
            </a:ext>
          </a:extLst>
        </xdr:cNvPr>
        <xdr:cNvSpPr txBox="1"/>
      </xdr:nvSpPr>
      <xdr:spPr>
        <a:xfrm>
          <a:off x="9523942" y="16104658"/>
          <a:ext cx="2020297" cy="264560"/>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Skarv Field FPSO Norwegian Sea</a:t>
          </a:r>
        </a:p>
      </xdr:txBody>
    </xdr:sp>
    <xdr:clientData/>
  </xdr:oneCellAnchor>
  <xdr:twoCellAnchor>
    <xdr:from>
      <xdr:col>3</xdr:col>
      <xdr:colOff>345015</xdr:colOff>
      <xdr:row>73</xdr:row>
      <xdr:rowOff>57151</xdr:rowOff>
    </xdr:from>
    <xdr:to>
      <xdr:col>4</xdr:col>
      <xdr:colOff>325965</xdr:colOff>
      <xdr:row>75</xdr:row>
      <xdr:rowOff>161927</xdr:rowOff>
    </xdr:to>
    <xdr:sp macro="" textlink="">
      <xdr:nvSpPr>
        <xdr:cNvPr id="12" name="TextBox 11">
          <a:extLst>
            <a:ext uri="{FF2B5EF4-FFF2-40B4-BE49-F238E27FC236}">
              <a16:creationId xmlns:a16="http://schemas.microsoft.com/office/drawing/2014/main" id="{00000000-0008-0000-0300-00000C000000}"/>
            </a:ext>
          </a:extLst>
        </xdr:cNvPr>
        <xdr:cNvSpPr txBox="1"/>
      </xdr:nvSpPr>
      <xdr:spPr>
        <a:xfrm>
          <a:off x="3435348" y="18133484"/>
          <a:ext cx="3304117" cy="485776"/>
        </a:xfrm>
        <a:prstGeom prst="rect">
          <a:avLst/>
        </a:prstGeom>
        <a:solidFill>
          <a:schemeClr val="accent1">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Chinook</a:t>
          </a:r>
          <a:r>
            <a:rPr lang="en-GB" sz="1100" baseline="0"/>
            <a:t> / Cascade FPSO development 2400 metres Gulf of Mexico</a:t>
          </a:r>
          <a:endParaRPr lang="en-GB" sz="1100"/>
        </a:p>
      </xdr:txBody>
    </xdr:sp>
    <xdr:clientData/>
  </xdr:twoCellAnchor>
  <xdr:oneCellAnchor>
    <xdr:from>
      <xdr:col>10</xdr:col>
      <xdr:colOff>9527</xdr:colOff>
      <xdr:row>34</xdr:row>
      <xdr:rowOff>487892</xdr:rowOff>
    </xdr:from>
    <xdr:ext cx="1652056" cy="485775"/>
    <xdr:sp macro="" textlink="">
      <xdr:nvSpPr>
        <xdr:cNvPr id="13" name="TextBox 12">
          <a:extLst>
            <a:ext uri="{FF2B5EF4-FFF2-40B4-BE49-F238E27FC236}">
              <a16:creationId xmlns:a16="http://schemas.microsoft.com/office/drawing/2014/main" id="{00000000-0008-0000-0300-00000D000000}"/>
            </a:ext>
          </a:extLst>
        </xdr:cNvPr>
        <xdr:cNvSpPr txBox="1"/>
      </xdr:nvSpPr>
      <xdr:spPr>
        <a:xfrm>
          <a:off x="11259610" y="9282642"/>
          <a:ext cx="1652056" cy="485775"/>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en-GB" sz="1100">
              <a:solidFill>
                <a:schemeClr val="tx1"/>
              </a:solidFill>
              <a:effectLst/>
              <a:latin typeface="+mn-lt"/>
              <a:ea typeface="+mn-ea"/>
              <a:cs typeface="+mn-cs"/>
            </a:rPr>
            <a:t>Aasta Hansteen </a:t>
          </a:r>
          <a:r>
            <a:rPr lang="en-GB" sz="1100"/>
            <a:t>Field SPAR 1400 </a:t>
          </a:r>
        </a:p>
        <a:p>
          <a:r>
            <a:rPr lang="en-GB" sz="1100"/>
            <a:t>metres Norwegian Sea</a:t>
          </a:r>
        </a:p>
      </xdr:txBody>
    </xdr:sp>
    <xdr:clientData/>
  </xdr:oneCellAnchor>
  <xdr:oneCellAnchor>
    <xdr:from>
      <xdr:col>7</xdr:col>
      <xdr:colOff>316442</xdr:colOff>
      <xdr:row>36</xdr:row>
      <xdr:rowOff>856192</xdr:rowOff>
    </xdr:from>
    <xdr:ext cx="2403475" cy="436786"/>
    <xdr:sp macro="" textlink="">
      <xdr:nvSpPr>
        <xdr:cNvPr id="14" name="TextBox 13">
          <a:extLst>
            <a:ext uri="{FF2B5EF4-FFF2-40B4-BE49-F238E27FC236}">
              <a16:creationId xmlns:a16="http://schemas.microsoft.com/office/drawing/2014/main" id="{00000000-0008-0000-0300-00000E000000}"/>
            </a:ext>
          </a:extLst>
        </xdr:cNvPr>
        <xdr:cNvSpPr txBox="1"/>
      </xdr:nvSpPr>
      <xdr:spPr>
        <a:xfrm>
          <a:off x="9629775" y="10984442"/>
          <a:ext cx="2403475" cy="436786"/>
        </a:xfrm>
        <a:prstGeom prst="rect">
          <a:avLst/>
        </a:prstGeom>
        <a:solidFill>
          <a:schemeClr val="accent1">
            <a:lumMod val="40000"/>
            <a:lumOff val="6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GB" sz="1100"/>
            <a:t>Ormen Lange 140 km to shore Barents</a:t>
          </a:r>
          <a:r>
            <a:rPr lang="en-GB" sz="1100" baseline="0"/>
            <a:t> Sea</a:t>
          </a:r>
          <a:endParaRPr lang="en-GB" sz="1100"/>
        </a:p>
      </xdr:txBody>
    </xdr:sp>
    <xdr:clientData/>
  </xdr:oneCellAnchor>
  <xdr:twoCellAnchor editAs="oneCell">
    <xdr:from>
      <xdr:col>6</xdr:col>
      <xdr:colOff>9525</xdr:colOff>
      <xdr:row>28</xdr:row>
      <xdr:rowOff>85725</xdr:rowOff>
    </xdr:from>
    <xdr:to>
      <xdr:col>9</xdr:col>
      <xdr:colOff>314325</xdr:colOff>
      <xdr:row>34</xdr:row>
      <xdr:rowOff>962025</xdr:rowOff>
    </xdr:to>
    <xdr:pic>
      <xdr:nvPicPr>
        <xdr:cNvPr id="1135595" name="Picture 14">
          <a:extLst>
            <a:ext uri="{FF2B5EF4-FFF2-40B4-BE49-F238E27FC236}">
              <a16:creationId xmlns:a16="http://schemas.microsoft.com/office/drawing/2014/main" id="{00000000-0008-0000-0300-0000EB5311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8105775" y="7991475"/>
          <a:ext cx="2133600"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6</xdr:col>
      <xdr:colOff>222250</xdr:colOff>
      <xdr:row>34</xdr:row>
      <xdr:rowOff>677334</xdr:rowOff>
    </xdr:from>
    <xdr:ext cx="1874937" cy="264560"/>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8318500" y="9736667"/>
          <a:ext cx="1874937" cy="264560"/>
        </a:xfrm>
        <a:prstGeom prst="rect">
          <a:avLst/>
        </a:prstGeom>
        <a:solidFill>
          <a:schemeClr val="tx2">
            <a:lumMod val="20000"/>
            <a:lumOff val="80000"/>
          </a:schemeClr>
        </a:solid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GB" sz="1100"/>
            <a:t>Deep-draft Semi-Submersible</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9</xdr:col>
      <xdr:colOff>295275</xdr:colOff>
      <xdr:row>9</xdr:row>
      <xdr:rowOff>209550</xdr:rowOff>
    </xdr:from>
    <xdr:to>
      <xdr:col>19</xdr:col>
      <xdr:colOff>537482</xdr:colOff>
      <xdr:row>33</xdr:row>
      <xdr:rowOff>85725</xdr:rowOff>
    </xdr:to>
    <xdr:graphicFrame macro="">
      <xdr:nvGraphicFramePr>
        <xdr:cNvPr id="2109929" name="Chart 5">
          <a:extLst>
            <a:ext uri="{FF2B5EF4-FFF2-40B4-BE49-F238E27FC236}">
              <a16:creationId xmlns:a16="http://schemas.microsoft.com/office/drawing/2014/main" id="{00000000-0008-0000-0600-0000E9312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102052</xdr:colOff>
      <xdr:row>4</xdr:row>
      <xdr:rowOff>47625</xdr:rowOff>
    </xdr:from>
    <xdr:to>
      <xdr:col>5</xdr:col>
      <xdr:colOff>612321</xdr:colOff>
      <xdr:row>5</xdr:row>
      <xdr:rowOff>190499</xdr:rowOff>
    </xdr:to>
    <xdr:sp macro="" textlink="">
      <xdr:nvSpPr>
        <xdr:cNvPr id="3" name="Striped Right Arrow 2">
          <a:extLst>
            <a:ext uri="{FF2B5EF4-FFF2-40B4-BE49-F238E27FC236}">
              <a16:creationId xmlns:a16="http://schemas.microsoft.com/office/drawing/2014/main" id="{00000000-0008-0000-0600-000003000000}"/>
            </a:ext>
          </a:extLst>
        </xdr:cNvPr>
        <xdr:cNvSpPr/>
      </xdr:nvSpPr>
      <xdr:spPr>
        <a:xfrm>
          <a:off x="6279695" y="972911"/>
          <a:ext cx="510269" cy="340178"/>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clientData/>
  </xdr:twoCellAnchor>
  <xdr:twoCellAnchor>
    <xdr:from>
      <xdr:col>9</xdr:col>
      <xdr:colOff>217339</xdr:colOff>
      <xdr:row>4</xdr:row>
      <xdr:rowOff>4688</xdr:rowOff>
    </xdr:from>
    <xdr:to>
      <xdr:col>15</xdr:col>
      <xdr:colOff>654934</xdr:colOff>
      <xdr:row>5</xdr:row>
      <xdr:rowOff>172769</xdr:rowOff>
    </xdr:to>
    <xdr:grpSp>
      <xdr:nvGrpSpPr>
        <xdr:cNvPr id="2" name="Group 1">
          <a:extLst>
            <a:ext uri="{FF2B5EF4-FFF2-40B4-BE49-F238E27FC236}">
              <a16:creationId xmlns:a16="http://schemas.microsoft.com/office/drawing/2014/main" id="{CCC29AC9-D4A5-5ADF-9BEE-4FFDC36E2B3C}"/>
            </a:ext>
          </a:extLst>
        </xdr:cNvPr>
        <xdr:cNvGrpSpPr/>
      </xdr:nvGrpSpPr>
      <xdr:grpSpPr>
        <a:xfrm>
          <a:off x="8776232" y="957188"/>
          <a:ext cx="5472238" cy="372188"/>
          <a:chOff x="9682054" y="939103"/>
          <a:chExt cx="5495491" cy="367020"/>
        </a:xfrm>
      </xdr:grpSpPr>
      <xdr:sp macro="" textlink="">
        <xdr:nvSpPr>
          <xdr:cNvPr id="4" name="Striped Right Arrow 3">
            <a:extLst>
              <a:ext uri="{FF2B5EF4-FFF2-40B4-BE49-F238E27FC236}">
                <a16:creationId xmlns:a16="http://schemas.microsoft.com/office/drawing/2014/main" id="{00000000-0008-0000-0600-000004000000}"/>
              </a:ext>
            </a:extLst>
          </xdr:cNvPr>
          <xdr:cNvSpPr/>
        </xdr:nvSpPr>
        <xdr:spPr>
          <a:xfrm>
            <a:off x="9682054" y="959935"/>
            <a:ext cx="461408" cy="328103"/>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sp macro="" textlink="">
        <xdr:nvSpPr>
          <xdr:cNvPr id="5" name="Striped Right Arrow 4">
            <a:extLst>
              <a:ext uri="{FF2B5EF4-FFF2-40B4-BE49-F238E27FC236}">
                <a16:creationId xmlns:a16="http://schemas.microsoft.com/office/drawing/2014/main" id="{00000000-0008-0000-0600-000005000000}"/>
              </a:ext>
            </a:extLst>
          </xdr:cNvPr>
          <xdr:cNvSpPr/>
        </xdr:nvSpPr>
        <xdr:spPr>
          <a:xfrm>
            <a:off x="12197922" y="939103"/>
            <a:ext cx="425114" cy="348934"/>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sp macro="" textlink="">
        <xdr:nvSpPr>
          <xdr:cNvPr id="6" name="Striped Right Arrow 5">
            <a:extLst>
              <a:ext uri="{FF2B5EF4-FFF2-40B4-BE49-F238E27FC236}">
                <a16:creationId xmlns:a16="http://schemas.microsoft.com/office/drawing/2014/main" id="{00000000-0008-0000-0600-000006000000}"/>
              </a:ext>
            </a:extLst>
          </xdr:cNvPr>
          <xdr:cNvSpPr/>
        </xdr:nvSpPr>
        <xdr:spPr>
          <a:xfrm>
            <a:off x="14731501" y="957189"/>
            <a:ext cx="446044" cy="348934"/>
          </a:xfrm>
          <a:prstGeom prst="stripedRightArrow">
            <a:avLst/>
          </a:prstGeom>
          <a:solidFill>
            <a:schemeClr val="accent1">
              <a:alpha val="58000"/>
            </a:schemeClr>
          </a:solidFill>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en-GB"/>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4</xdr:col>
      <xdr:colOff>19050</xdr:colOff>
      <xdr:row>23</xdr:row>
      <xdr:rowOff>83344</xdr:rowOff>
    </xdr:from>
    <xdr:to>
      <xdr:col>11</xdr:col>
      <xdr:colOff>666750</xdr:colOff>
      <xdr:row>34</xdr:row>
      <xdr:rowOff>64294</xdr:rowOff>
    </xdr:to>
    <xdr:graphicFrame macro="">
      <xdr:nvGraphicFramePr>
        <xdr:cNvPr id="12574" name="Chart 4">
          <a:extLst>
            <a:ext uri="{FF2B5EF4-FFF2-40B4-BE49-F238E27FC236}">
              <a16:creationId xmlns:a16="http://schemas.microsoft.com/office/drawing/2014/main" id="{00000000-0008-0000-0800-00001E31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371475</xdr:colOff>
      <xdr:row>0</xdr:row>
      <xdr:rowOff>142875</xdr:rowOff>
    </xdr:from>
    <xdr:to>
      <xdr:col>20</xdr:col>
      <xdr:colOff>171450</xdr:colOff>
      <xdr:row>17</xdr:row>
      <xdr:rowOff>123825</xdr:rowOff>
    </xdr:to>
    <xdr:graphicFrame macro="">
      <xdr:nvGraphicFramePr>
        <xdr:cNvPr id="2841718" name="Chart 3">
          <a:extLst>
            <a:ext uri="{FF2B5EF4-FFF2-40B4-BE49-F238E27FC236}">
              <a16:creationId xmlns:a16="http://schemas.microsoft.com/office/drawing/2014/main" id="{00000000-0008-0000-0A00-0000765C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171450</xdr:colOff>
      <xdr:row>0</xdr:row>
      <xdr:rowOff>161925</xdr:rowOff>
    </xdr:from>
    <xdr:to>
      <xdr:col>11</xdr:col>
      <xdr:colOff>333375</xdr:colOff>
      <xdr:row>17</xdr:row>
      <xdr:rowOff>123825</xdr:rowOff>
    </xdr:to>
    <xdr:graphicFrame macro="">
      <xdr:nvGraphicFramePr>
        <xdr:cNvPr id="2841719" name="Chart 5">
          <a:extLst>
            <a:ext uri="{FF2B5EF4-FFF2-40B4-BE49-F238E27FC236}">
              <a16:creationId xmlns:a16="http://schemas.microsoft.com/office/drawing/2014/main" id="{00000000-0008-0000-0A00-0000775C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142875</xdr:colOff>
      <xdr:row>17</xdr:row>
      <xdr:rowOff>123825</xdr:rowOff>
    </xdr:from>
    <xdr:to>
      <xdr:col>11</xdr:col>
      <xdr:colOff>304800</xdr:colOff>
      <xdr:row>34</xdr:row>
      <xdr:rowOff>57150</xdr:rowOff>
    </xdr:to>
    <xdr:graphicFrame macro="">
      <xdr:nvGraphicFramePr>
        <xdr:cNvPr id="2841720" name="Chart 5">
          <a:extLst>
            <a:ext uri="{FF2B5EF4-FFF2-40B4-BE49-F238E27FC236}">
              <a16:creationId xmlns:a16="http://schemas.microsoft.com/office/drawing/2014/main" id="{00000000-0008-0000-0A00-0000785C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11</xdr:col>
      <xdr:colOff>438150</xdr:colOff>
      <xdr:row>17</xdr:row>
      <xdr:rowOff>190500</xdr:rowOff>
    </xdr:from>
    <xdr:to>
      <xdr:col>20</xdr:col>
      <xdr:colOff>123825</xdr:colOff>
      <xdr:row>34</xdr:row>
      <xdr:rowOff>95250</xdr:rowOff>
    </xdr:to>
    <xdr:graphicFrame macro="">
      <xdr:nvGraphicFramePr>
        <xdr:cNvPr id="2841721" name="Chart 5">
          <a:extLst>
            <a:ext uri="{FF2B5EF4-FFF2-40B4-BE49-F238E27FC236}">
              <a16:creationId xmlns:a16="http://schemas.microsoft.com/office/drawing/2014/main" id="{00000000-0008-0000-0A00-0000795C2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4</xdr:col>
      <xdr:colOff>514350</xdr:colOff>
      <xdr:row>0</xdr:row>
      <xdr:rowOff>123825</xdr:rowOff>
    </xdr:from>
    <xdr:to>
      <xdr:col>15</xdr:col>
      <xdr:colOff>47625</xdr:colOff>
      <xdr:row>16</xdr:row>
      <xdr:rowOff>28575</xdr:rowOff>
    </xdr:to>
    <xdr:graphicFrame macro="">
      <xdr:nvGraphicFramePr>
        <xdr:cNvPr id="9787" name="Chart 1">
          <a:extLst>
            <a:ext uri="{FF2B5EF4-FFF2-40B4-BE49-F238E27FC236}">
              <a16:creationId xmlns:a16="http://schemas.microsoft.com/office/drawing/2014/main" id="{00000000-0008-0000-0C00-00003B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571500</xdr:colOff>
      <xdr:row>20</xdr:row>
      <xdr:rowOff>142875</xdr:rowOff>
    </xdr:from>
    <xdr:to>
      <xdr:col>15</xdr:col>
      <xdr:colOff>19050</xdr:colOff>
      <xdr:row>32</xdr:row>
      <xdr:rowOff>9525</xdr:rowOff>
    </xdr:to>
    <xdr:graphicFrame macro="">
      <xdr:nvGraphicFramePr>
        <xdr:cNvPr id="9788" name="Chart 2">
          <a:extLst>
            <a:ext uri="{FF2B5EF4-FFF2-40B4-BE49-F238E27FC236}">
              <a16:creationId xmlns:a16="http://schemas.microsoft.com/office/drawing/2014/main" id="{00000000-0008-0000-0C00-00003C26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466725</xdr:colOff>
      <xdr:row>15</xdr:row>
      <xdr:rowOff>0</xdr:rowOff>
    </xdr:from>
    <xdr:to>
      <xdr:col>9</xdr:col>
      <xdr:colOff>152400</xdr:colOff>
      <xdr:row>26</xdr:row>
      <xdr:rowOff>142875</xdr:rowOff>
    </xdr:to>
    <xdr:graphicFrame macro="">
      <xdr:nvGraphicFramePr>
        <xdr:cNvPr id="695086" name="Chart 2">
          <a:extLst>
            <a:ext uri="{FF2B5EF4-FFF2-40B4-BE49-F238E27FC236}">
              <a16:creationId xmlns:a16="http://schemas.microsoft.com/office/drawing/2014/main" id="{00000000-0008-0000-0D00-00002E9B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0</xdr:row>
      <xdr:rowOff>19050</xdr:rowOff>
    </xdr:from>
    <xdr:to>
      <xdr:col>9</xdr:col>
      <xdr:colOff>180975</xdr:colOff>
      <xdr:row>15</xdr:row>
      <xdr:rowOff>38100</xdr:rowOff>
    </xdr:to>
    <xdr:graphicFrame macro="">
      <xdr:nvGraphicFramePr>
        <xdr:cNvPr id="695087" name="Chart 3">
          <a:extLst>
            <a:ext uri="{FF2B5EF4-FFF2-40B4-BE49-F238E27FC236}">
              <a16:creationId xmlns:a16="http://schemas.microsoft.com/office/drawing/2014/main" id="{00000000-0008-0000-0D00-00002F9B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323850</xdr:colOff>
      <xdr:row>15</xdr:row>
      <xdr:rowOff>19050</xdr:rowOff>
    </xdr:from>
    <xdr:to>
      <xdr:col>17</xdr:col>
      <xdr:colOff>19050</xdr:colOff>
      <xdr:row>26</xdr:row>
      <xdr:rowOff>142875</xdr:rowOff>
    </xdr:to>
    <xdr:graphicFrame macro="">
      <xdr:nvGraphicFramePr>
        <xdr:cNvPr id="695088" name="Chart 4">
          <a:extLst>
            <a:ext uri="{FF2B5EF4-FFF2-40B4-BE49-F238E27FC236}">
              <a16:creationId xmlns:a16="http://schemas.microsoft.com/office/drawing/2014/main" id="{00000000-0008-0000-0D00-0000309B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295275</xdr:colOff>
      <xdr:row>0</xdr:row>
      <xdr:rowOff>57150</xdr:rowOff>
    </xdr:from>
    <xdr:to>
      <xdr:col>16</xdr:col>
      <xdr:colOff>608541</xdr:colOff>
      <xdr:row>15</xdr:row>
      <xdr:rowOff>0</xdr:rowOff>
    </xdr:to>
    <xdr:graphicFrame macro="">
      <xdr:nvGraphicFramePr>
        <xdr:cNvPr id="695089" name="Chart 5">
          <a:extLst>
            <a:ext uri="{FF2B5EF4-FFF2-40B4-BE49-F238E27FC236}">
              <a16:creationId xmlns:a16="http://schemas.microsoft.com/office/drawing/2014/main" id="{00000000-0008-0000-0D00-0000319B0A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00"/>
    <pageSetUpPr fitToPage="1"/>
  </sheetPr>
  <dimension ref="A1:AP88"/>
  <sheetViews>
    <sheetView showGridLines="0" showRowColHeaders="0" topLeftCell="C1" zoomScale="80" zoomScaleNormal="80" zoomScaleSheetLayoutView="76" workbookViewId="0">
      <pane ySplit="14" topLeftCell="A15" activePane="bottomLeft" state="frozen"/>
      <selection activeCell="C1" sqref="C1"/>
      <selection pane="bottomLeft" activeCell="AH34" sqref="AH34"/>
    </sheetView>
  </sheetViews>
  <sheetFormatPr defaultRowHeight="15"/>
  <cols>
    <col min="3" max="3" width="12.28515625" customWidth="1"/>
    <col min="14" max="14" width="11.5703125" customWidth="1"/>
    <col min="15" max="15" width="10.85546875" customWidth="1"/>
    <col min="16" max="16" width="14.85546875" customWidth="1"/>
    <col min="27" max="27" width="11.140625" customWidth="1"/>
    <col min="34" max="34" width="15" customWidth="1"/>
    <col min="36" max="36" width="27.85546875" customWidth="1"/>
    <col min="38" max="38" width="5.5703125" customWidth="1"/>
  </cols>
  <sheetData>
    <row r="1" spans="1:42">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c r="AF1" s="77"/>
      <c r="AG1" s="77"/>
      <c r="AH1" s="77"/>
      <c r="AI1" s="77"/>
      <c r="AJ1" s="77"/>
      <c r="AK1" s="77"/>
      <c r="AL1" s="77"/>
      <c r="AM1" s="77"/>
      <c r="AN1" s="77"/>
      <c r="AO1" s="77"/>
      <c r="AP1" s="77"/>
    </row>
    <row r="2" spans="1:42">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c r="AF2" s="77"/>
      <c r="AG2" s="77"/>
      <c r="AH2" s="77"/>
      <c r="AI2" s="77"/>
      <c r="AJ2" s="77"/>
      <c r="AK2" s="77"/>
      <c r="AL2" s="77"/>
      <c r="AM2" s="77"/>
      <c r="AN2" s="77"/>
      <c r="AO2" s="77"/>
      <c r="AP2" s="77"/>
    </row>
    <row r="3" spans="1:42">
      <c r="A3" s="77"/>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c r="AF3" s="77"/>
      <c r="AG3" s="77"/>
      <c r="AH3" s="77"/>
      <c r="AI3" s="77"/>
      <c r="AJ3" s="77"/>
      <c r="AK3" s="77"/>
      <c r="AL3" s="77"/>
      <c r="AM3" s="77"/>
      <c r="AN3" s="77"/>
      <c r="AO3" s="77"/>
      <c r="AP3" s="77"/>
    </row>
    <row r="4" spans="1:42">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c r="AF4" s="77"/>
      <c r="AG4" s="77"/>
      <c r="AH4" s="77"/>
      <c r="AI4" s="77"/>
      <c r="AJ4" s="77"/>
      <c r="AK4" s="77"/>
      <c r="AL4" s="77"/>
      <c r="AM4" s="77"/>
      <c r="AN4" s="77"/>
      <c r="AO4" s="77"/>
      <c r="AP4" s="77"/>
    </row>
    <row r="5" spans="1:42">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c r="AF5" s="77"/>
      <c r="AG5" s="77"/>
      <c r="AH5" s="77"/>
      <c r="AI5" s="77"/>
      <c r="AJ5" s="77"/>
      <c r="AK5" s="77"/>
      <c r="AL5" s="77"/>
      <c r="AM5" s="77"/>
      <c r="AN5" s="77"/>
      <c r="AO5" s="77"/>
      <c r="AP5" s="77"/>
    </row>
    <row r="6" spans="1:42">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row>
    <row r="7" spans="1:42">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row>
    <row r="8" spans="1:42">
      <c r="A8" s="77"/>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row>
    <row r="9" spans="1:42" ht="26.25">
      <c r="A9" s="367"/>
      <c r="B9" s="367"/>
      <c r="C9" s="367"/>
      <c r="D9" s="367"/>
      <c r="E9" s="367"/>
      <c r="F9" s="367"/>
      <c r="G9" s="367"/>
      <c r="H9" s="367"/>
      <c r="I9" s="367"/>
      <c r="J9" s="367"/>
      <c r="K9" s="367"/>
      <c r="L9" s="367"/>
      <c r="M9" s="367"/>
      <c r="N9" s="367"/>
      <c r="O9" s="367"/>
      <c r="P9" s="367"/>
      <c r="Q9" s="367"/>
      <c r="R9" s="367"/>
      <c r="S9" s="367"/>
      <c r="T9" s="367"/>
      <c r="U9" s="367"/>
      <c r="V9" s="367"/>
      <c r="W9" s="367"/>
      <c r="X9" s="367"/>
      <c r="Y9" s="367"/>
      <c r="Z9" s="368"/>
      <c r="AA9" s="369"/>
      <c r="AB9" s="367"/>
      <c r="AC9" s="367"/>
      <c r="AD9" s="367"/>
      <c r="AE9" s="367"/>
      <c r="AF9" s="367"/>
      <c r="AG9" s="367"/>
      <c r="AH9" s="367"/>
      <c r="AI9" s="367"/>
      <c r="AJ9" s="367"/>
      <c r="AK9" s="367"/>
      <c r="AL9" s="367"/>
      <c r="AM9" s="367"/>
      <c r="AN9" s="367"/>
      <c r="AO9" s="367"/>
      <c r="AP9" s="367"/>
    </row>
    <row r="10" spans="1:42" ht="23.25">
      <c r="A10" s="367"/>
      <c r="B10" s="367"/>
      <c r="C10" s="367"/>
      <c r="D10" s="367"/>
      <c r="E10" s="367"/>
      <c r="F10" s="367"/>
      <c r="G10" s="367"/>
      <c r="H10" s="367"/>
      <c r="I10" s="367"/>
      <c r="J10" s="367"/>
      <c r="K10" s="367"/>
      <c r="L10" s="367"/>
      <c r="M10" s="367"/>
      <c r="N10" s="367"/>
      <c r="O10" s="367"/>
      <c r="P10" s="367"/>
      <c r="Q10" s="367"/>
      <c r="R10" s="367"/>
      <c r="S10" s="367"/>
      <c r="T10" s="367"/>
      <c r="U10" s="367"/>
      <c r="V10" s="367"/>
      <c r="W10" s="367"/>
      <c r="X10" s="367"/>
      <c r="Y10" s="369"/>
      <c r="Z10" s="369"/>
      <c r="AA10" s="369"/>
      <c r="AB10" s="367"/>
      <c r="AC10" s="367"/>
      <c r="AD10" s="367"/>
      <c r="AE10" s="367"/>
      <c r="AF10" s="367"/>
      <c r="AG10" s="367"/>
      <c r="AH10" s="367"/>
      <c r="AI10" s="367"/>
      <c r="AJ10" s="367"/>
      <c r="AK10" s="367"/>
      <c r="AL10" s="367"/>
      <c r="AM10" s="367"/>
      <c r="AN10" s="367"/>
      <c r="AO10" s="367"/>
      <c r="AP10" s="367"/>
    </row>
    <row r="11" spans="1:42">
      <c r="A11" s="367"/>
      <c r="B11" s="367"/>
      <c r="C11" s="367"/>
      <c r="D11" s="367"/>
      <c r="E11" s="367"/>
      <c r="F11" s="367"/>
      <c r="G11" s="367"/>
      <c r="H11" s="367"/>
      <c r="I11" s="367"/>
      <c r="J11" s="367"/>
      <c r="K11" s="367"/>
      <c r="L11" s="367"/>
      <c r="M11" s="367"/>
      <c r="N11" s="367"/>
      <c r="O11" s="367"/>
      <c r="P11" s="367"/>
      <c r="Q11" s="367"/>
      <c r="R11" s="367"/>
      <c r="S11" s="367"/>
      <c r="T11" s="367"/>
      <c r="U11" s="367"/>
      <c r="V11" s="367"/>
      <c r="W11" s="367"/>
      <c r="X11" s="367"/>
      <c r="Y11" s="367"/>
      <c r="Z11" s="367"/>
      <c r="AA11" s="367"/>
      <c r="AB11" s="367"/>
      <c r="AC11" s="367"/>
      <c r="AD11" s="367"/>
      <c r="AE11" s="367"/>
      <c r="AF11" s="367"/>
      <c r="AG11" s="367"/>
      <c r="AH11" s="367"/>
      <c r="AI11" s="367"/>
      <c r="AJ11" s="367"/>
      <c r="AK11" s="367"/>
      <c r="AL11" s="367"/>
      <c r="AM11" s="367"/>
      <c r="AN11" s="367"/>
      <c r="AO11" s="367"/>
      <c r="AP11" s="367"/>
    </row>
    <row r="12" spans="1:42">
      <c r="A12" s="367"/>
      <c r="B12" s="367"/>
      <c r="C12" s="367"/>
      <c r="D12" s="367"/>
      <c r="E12" s="367"/>
      <c r="F12" s="367"/>
      <c r="G12" s="367"/>
      <c r="H12" s="367"/>
      <c r="I12" s="367"/>
      <c r="J12" s="367"/>
      <c r="K12" s="367"/>
      <c r="L12" s="367"/>
      <c r="M12" s="367"/>
      <c r="N12" s="367"/>
      <c r="O12" s="367"/>
      <c r="P12" s="367"/>
      <c r="Q12" s="367"/>
      <c r="R12" s="367"/>
      <c r="S12" s="367"/>
      <c r="T12" s="367"/>
      <c r="U12" s="367"/>
      <c r="V12" s="367"/>
      <c r="W12" s="367"/>
      <c r="X12" s="367"/>
      <c r="Y12" s="367"/>
      <c r="Z12" s="367"/>
      <c r="AA12" s="367"/>
      <c r="AB12" s="367"/>
      <c r="AC12" s="367"/>
      <c r="AD12" s="367"/>
      <c r="AE12" s="367"/>
      <c r="AF12" s="367"/>
      <c r="AG12" s="367"/>
      <c r="AH12" s="367"/>
      <c r="AI12" s="367"/>
      <c r="AJ12" s="367"/>
      <c r="AK12" s="367"/>
      <c r="AL12" s="367"/>
      <c r="AM12" s="367"/>
      <c r="AN12" s="367"/>
      <c r="AO12" s="367"/>
      <c r="AP12" s="367"/>
    </row>
    <row r="13" spans="1:42">
      <c r="A13" s="367"/>
      <c r="B13" s="367"/>
      <c r="C13" s="367"/>
      <c r="D13" s="367"/>
      <c r="E13" s="367"/>
      <c r="F13" s="367"/>
      <c r="G13" s="367"/>
      <c r="H13" s="367"/>
      <c r="I13" s="367"/>
      <c r="J13" s="367"/>
      <c r="K13" s="367"/>
      <c r="L13" s="367"/>
      <c r="M13" s="367"/>
      <c r="N13" s="367"/>
      <c r="O13" s="367"/>
      <c r="P13" s="367"/>
      <c r="Q13" s="367"/>
      <c r="R13" s="367"/>
      <c r="S13" s="367"/>
      <c r="T13" s="367"/>
      <c r="U13" s="367"/>
      <c r="V13" s="367"/>
      <c r="W13" s="367"/>
      <c r="X13" s="367"/>
      <c r="Y13" s="367"/>
      <c r="Z13" s="367"/>
      <c r="AA13" s="367"/>
      <c r="AB13" s="367"/>
      <c r="AC13" s="367"/>
      <c r="AD13" s="367"/>
      <c r="AE13" s="367"/>
      <c r="AF13" s="367"/>
      <c r="AG13" s="367"/>
      <c r="AH13" s="367"/>
      <c r="AI13" s="367"/>
      <c r="AJ13" s="367"/>
      <c r="AK13" s="367"/>
      <c r="AL13" s="367"/>
      <c r="AM13" s="367"/>
      <c r="AN13" s="367"/>
      <c r="AO13" s="367"/>
      <c r="AP13" s="367"/>
    </row>
    <row r="14" spans="1:42" ht="32.25" customHeight="1">
      <c r="A14" s="367"/>
      <c r="B14" s="367"/>
      <c r="C14" s="367"/>
      <c r="D14" s="367"/>
      <c r="E14" s="367"/>
      <c r="F14" s="367"/>
      <c r="G14" s="367"/>
      <c r="H14" s="367"/>
      <c r="I14" s="367"/>
      <c r="J14" s="367"/>
      <c r="K14" s="367"/>
      <c r="L14" s="367"/>
      <c r="M14" s="367"/>
      <c r="N14" s="367"/>
      <c r="O14" s="367"/>
      <c r="P14" s="367"/>
      <c r="Q14" s="367"/>
      <c r="R14" s="367"/>
      <c r="S14" s="367"/>
      <c r="T14" s="367"/>
      <c r="U14" s="367"/>
      <c r="V14" s="367"/>
      <c r="W14" s="367"/>
      <c r="X14" s="367"/>
      <c r="Y14" s="367"/>
      <c r="Z14" s="367"/>
      <c r="AA14" s="367"/>
      <c r="AB14" s="367"/>
      <c r="AC14" s="367"/>
      <c r="AD14" s="367"/>
      <c r="AE14" s="367"/>
      <c r="AF14" s="367"/>
      <c r="AG14" s="367"/>
      <c r="AH14" s="367"/>
      <c r="AI14" s="367"/>
      <c r="AJ14" s="367"/>
      <c r="AK14" s="367"/>
      <c r="AL14" s="367"/>
      <c r="AM14" s="367"/>
      <c r="AN14" s="367"/>
      <c r="AO14" s="367"/>
      <c r="AP14" s="367"/>
    </row>
    <row r="15" spans="1:42" ht="36">
      <c r="A15" s="367"/>
      <c r="B15" s="367"/>
      <c r="C15" s="370"/>
      <c r="D15" s="367"/>
      <c r="E15" s="367"/>
      <c r="F15" s="367"/>
      <c r="G15" s="367"/>
      <c r="H15" s="367"/>
      <c r="I15" s="367"/>
      <c r="J15" s="367"/>
      <c r="K15" s="367"/>
      <c r="L15" s="367"/>
      <c r="M15" s="367"/>
      <c r="N15" s="367"/>
      <c r="O15" s="367"/>
      <c r="P15" s="367"/>
      <c r="Q15" s="367"/>
      <c r="R15" s="367"/>
      <c r="S15" s="367"/>
      <c r="T15" s="367"/>
      <c r="U15" s="367"/>
      <c r="V15" s="367"/>
      <c r="W15" s="367"/>
      <c r="X15" s="367"/>
      <c r="Y15" s="367"/>
      <c r="Z15" s="367"/>
      <c r="AA15" s="367"/>
      <c r="AB15" s="367"/>
      <c r="AC15" s="367"/>
      <c r="AD15" s="367"/>
      <c r="AE15" s="367"/>
      <c r="AF15" s="367"/>
      <c r="AG15" s="367"/>
      <c r="AH15" s="371" t="s">
        <v>407</v>
      </c>
      <c r="AI15" s="371" t="s">
        <v>447</v>
      </c>
      <c r="AJ15" s="372" t="s">
        <v>662</v>
      </c>
      <c r="AK15" s="373"/>
      <c r="AL15" s="374"/>
      <c r="AM15" s="367"/>
      <c r="AN15" s="367"/>
      <c r="AO15" s="367"/>
      <c r="AP15" s="367"/>
    </row>
    <row r="16" spans="1:42">
      <c r="A16" s="367"/>
      <c r="B16" s="367"/>
      <c r="C16" s="367"/>
      <c r="D16" s="367"/>
      <c r="E16" s="367"/>
      <c r="F16" s="367"/>
      <c r="G16" s="367"/>
      <c r="H16" s="367"/>
      <c r="I16" s="367"/>
      <c r="J16" s="367"/>
      <c r="K16" s="367"/>
      <c r="L16" s="367"/>
      <c r="M16" s="367"/>
      <c r="N16" s="367"/>
      <c r="O16" s="367"/>
      <c r="P16" s="367"/>
      <c r="Q16" s="367"/>
      <c r="R16" s="367"/>
      <c r="S16" s="367"/>
      <c r="T16" s="367"/>
      <c r="U16" s="367"/>
      <c r="V16" s="367"/>
      <c r="W16" s="367"/>
      <c r="X16" s="367"/>
      <c r="Y16" s="367"/>
      <c r="Z16" s="367"/>
      <c r="AA16" s="367"/>
      <c r="AB16" s="367"/>
      <c r="AC16" s="367"/>
      <c r="AD16" s="367"/>
      <c r="AE16" s="367"/>
      <c r="AF16" s="367"/>
      <c r="AG16" s="367"/>
      <c r="AH16" s="375">
        <v>39372</v>
      </c>
      <c r="AI16" s="376">
        <v>1</v>
      </c>
      <c r="AJ16" s="377" t="s">
        <v>663</v>
      </c>
      <c r="AK16" s="378"/>
      <c r="AL16" s="379"/>
      <c r="AM16" s="367"/>
      <c r="AN16" s="367"/>
      <c r="AO16" s="367"/>
      <c r="AP16" s="367"/>
    </row>
    <row r="17" spans="1:42">
      <c r="A17" s="367"/>
      <c r="B17" s="367"/>
      <c r="C17" s="367"/>
      <c r="D17" s="367"/>
      <c r="E17" s="367"/>
      <c r="F17" s="367"/>
      <c r="G17" s="367"/>
      <c r="H17" s="367"/>
      <c r="I17" s="367"/>
      <c r="J17" s="367"/>
      <c r="K17" s="367"/>
      <c r="L17" s="367"/>
      <c r="M17" s="367"/>
      <c r="N17" s="367"/>
      <c r="O17" s="367"/>
      <c r="P17" s="367"/>
      <c r="Q17" s="367"/>
      <c r="R17" s="367"/>
      <c r="S17" s="367"/>
      <c r="T17" s="367"/>
      <c r="U17" s="367"/>
      <c r="V17" s="367"/>
      <c r="W17" s="367"/>
      <c r="X17" s="367"/>
      <c r="Y17" s="367"/>
      <c r="Z17" s="367"/>
      <c r="AA17" s="367"/>
      <c r="AB17" s="367"/>
      <c r="AC17" s="367"/>
      <c r="AD17" s="367"/>
      <c r="AE17" s="367"/>
      <c r="AF17" s="367"/>
      <c r="AG17" s="367"/>
      <c r="AH17" s="375">
        <v>39607</v>
      </c>
      <c r="AI17" s="380">
        <v>1.01</v>
      </c>
      <c r="AJ17" s="377" t="s">
        <v>838</v>
      </c>
      <c r="AK17" s="378"/>
      <c r="AL17" s="379"/>
      <c r="AM17" s="367"/>
      <c r="AN17" s="367"/>
      <c r="AO17" s="367"/>
      <c r="AP17" s="367"/>
    </row>
    <row r="18" spans="1:42">
      <c r="A18" s="367"/>
      <c r="B18" s="367"/>
      <c r="C18" s="367"/>
      <c r="D18" s="367"/>
      <c r="E18" s="367"/>
      <c r="F18" s="367"/>
      <c r="G18" s="367"/>
      <c r="H18" s="367"/>
      <c r="I18" s="367"/>
      <c r="J18" s="367"/>
      <c r="K18" s="367"/>
      <c r="L18" s="367"/>
      <c r="M18" s="367"/>
      <c r="N18" s="367"/>
      <c r="O18" s="367"/>
      <c r="P18" s="367"/>
      <c r="Q18" s="367"/>
      <c r="R18" s="367"/>
      <c r="S18" s="367"/>
      <c r="T18" s="367"/>
      <c r="U18" s="367"/>
      <c r="V18" s="367"/>
      <c r="W18" s="367"/>
      <c r="X18" s="367"/>
      <c r="Y18" s="367"/>
      <c r="Z18" s="367"/>
      <c r="AA18" s="367"/>
      <c r="AB18" s="367"/>
      <c r="AC18" s="367"/>
      <c r="AD18" s="367"/>
      <c r="AE18" s="367"/>
      <c r="AF18" s="367"/>
      <c r="AG18" s="367"/>
      <c r="AH18" s="375">
        <v>39810</v>
      </c>
      <c r="AI18" s="380">
        <v>2</v>
      </c>
      <c r="AJ18" s="377" t="s">
        <v>739</v>
      </c>
      <c r="AK18" s="378"/>
      <c r="AL18" s="379"/>
      <c r="AM18" s="367"/>
      <c r="AN18" s="367"/>
      <c r="AO18" s="367"/>
      <c r="AP18" s="367"/>
    </row>
    <row r="19" spans="1:42">
      <c r="A19" s="367"/>
      <c r="B19" s="367"/>
      <c r="C19" s="367"/>
      <c r="D19" s="367"/>
      <c r="E19" s="367"/>
      <c r="F19" s="367"/>
      <c r="G19" s="367"/>
      <c r="H19" s="367"/>
      <c r="I19" s="367"/>
      <c r="J19" s="367"/>
      <c r="K19" s="367"/>
      <c r="L19" s="367"/>
      <c r="M19" s="367"/>
      <c r="N19" s="367"/>
      <c r="O19" s="367"/>
      <c r="P19" s="367"/>
      <c r="Q19" s="367"/>
      <c r="R19" s="367"/>
      <c r="S19" s="367"/>
      <c r="T19" s="367"/>
      <c r="U19" s="367"/>
      <c r="V19" s="367"/>
      <c r="W19" s="367"/>
      <c r="X19" s="367"/>
      <c r="Y19" s="367"/>
      <c r="Z19" s="367"/>
      <c r="AA19" s="367"/>
      <c r="AB19" s="367"/>
      <c r="AC19" s="367"/>
      <c r="AD19" s="367"/>
      <c r="AE19" s="367"/>
      <c r="AF19" s="367"/>
      <c r="AG19" s="367"/>
      <c r="AH19" s="375">
        <v>39839</v>
      </c>
      <c r="AI19" s="380">
        <v>2.0099999999999998</v>
      </c>
      <c r="AJ19" s="377" t="s">
        <v>743</v>
      </c>
      <c r="AK19" s="378"/>
      <c r="AL19" s="379"/>
      <c r="AM19" s="367"/>
      <c r="AN19" s="367"/>
      <c r="AO19" s="367"/>
      <c r="AP19" s="367"/>
    </row>
    <row r="20" spans="1:42">
      <c r="A20" s="367"/>
      <c r="B20" s="367"/>
      <c r="C20" s="367"/>
      <c r="D20" s="367"/>
      <c r="E20" s="367"/>
      <c r="F20" s="367"/>
      <c r="G20" s="367"/>
      <c r="H20" s="367"/>
      <c r="I20" s="367"/>
      <c r="J20" s="367"/>
      <c r="K20" s="367"/>
      <c r="L20" s="367"/>
      <c r="M20" s="367"/>
      <c r="N20" s="367"/>
      <c r="O20" s="367"/>
      <c r="P20" s="367"/>
      <c r="Q20" s="367"/>
      <c r="R20" s="367"/>
      <c r="S20" s="367"/>
      <c r="T20" s="367"/>
      <c r="U20" s="367"/>
      <c r="V20" s="367"/>
      <c r="W20" s="367"/>
      <c r="X20" s="367"/>
      <c r="Y20" s="367"/>
      <c r="Z20" s="367"/>
      <c r="AA20" s="367"/>
      <c r="AB20" s="367"/>
      <c r="AC20" s="367"/>
      <c r="AD20" s="367"/>
      <c r="AE20" s="367"/>
      <c r="AF20" s="367"/>
      <c r="AG20" s="367"/>
      <c r="AH20" s="375">
        <v>39841</v>
      </c>
      <c r="AI20" s="380">
        <v>2.02</v>
      </c>
      <c r="AJ20" s="377" t="s">
        <v>744</v>
      </c>
      <c r="AK20" s="378"/>
      <c r="AL20" s="379"/>
      <c r="AM20" s="367"/>
      <c r="AN20" s="367"/>
      <c r="AO20" s="367"/>
      <c r="AP20" s="367"/>
    </row>
    <row r="21" spans="1:42">
      <c r="A21" s="367"/>
      <c r="B21" s="367"/>
      <c r="C21" s="367"/>
      <c r="D21" s="367"/>
      <c r="E21" s="367"/>
      <c r="F21" s="367"/>
      <c r="G21" s="367"/>
      <c r="H21" s="367"/>
      <c r="I21" s="367"/>
      <c r="J21" s="367"/>
      <c r="K21" s="367"/>
      <c r="L21" s="367"/>
      <c r="M21" s="367"/>
      <c r="N21" s="367"/>
      <c r="O21" s="367"/>
      <c r="P21" s="367"/>
      <c r="Q21" s="367"/>
      <c r="R21" s="367"/>
      <c r="S21" s="367"/>
      <c r="T21" s="367"/>
      <c r="U21" s="367"/>
      <c r="V21" s="367"/>
      <c r="W21" s="367"/>
      <c r="X21" s="367"/>
      <c r="Y21" s="367"/>
      <c r="Z21" s="367"/>
      <c r="AA21" s="367"/>
      <c r="AB21" s="367"/>
      <c r="AC21" s="367"/>
      <c r="AD21" s="367"/>
      <c r="AE21" s="367"/>
      <c r="AF21" s="367"/>
      <c r="AG21" s="367"/>
      <c r="AH21" s="375">
        <v>41011</v>
      </c>
      <c r="AI21" s="380">
        <v>2.99</v>
      </c>
      <c r="AJ21" s="377" t="s">
        <v>941</v>
      </c>
      <c r="AK21" s="378"/>
      <c r="AL21" s="379"/>
      <c r="AM21" s="367"/>
      <c r="AN21" s="367"/>
      <c r="AO21" s="367"/>
      <c r="AP21" s="367"/>
    </row>
    <row r="22" spans="1:42">
      <c r="A22" s="367"/>
      <c r="B22" s="367"/>
      <c r="C22" s="367"/>
      <c r="D22" s="367"/>
      <c r="E22" s="367"/>
      <c r="F22" s="367"/>
      <c r="G22" s="367"/>
      <c r="H22" s="367"/>
      <c r="I22" s="367"/>
      <c r="J22" s="367"/>
      <c r="K22" s="367"/>
      <c r="L22" s="367"/>
      <c r="M22" s="367"/>
      <c r="N22" s="367"/>
      <c r="O22" s="367"/>
      <c r="P22" s="367"/>
      <c r="Q22" s="367"/>
      <c r="R22" s="367"/>
      <c r="S22" s="367"/>
      <c r="T22" s="367"/>
      <c r="U22" s="367"/>
      <c r="V22" s="367"/>
      <c r="W22" s="367"/>
      <c r="X22" s="367"/>
      <c r="Y22" s="367"/>
      <c r="Z22" s="367"/>
      <c r="AA22" s="367"/>
      <c r="AB22" s="367"/>
      <c r="AC22" s="367"/>
      <c r="AD22" s="367"/>
      <c r="AE22" s="367"/>
      <c r="AF22" s="367"/>
      <c r="AG22" s="367"/>
      <c r="AH22" s="375">
        <v>41073</v>
      </c>
      <c r="AI22" s="376">
        <v>3</v>
      </c>
      <c r="AJ22" s="377" t="s">
        <v>942</v>
      </c>
      <c r="AK22" s="378"/>
      <c r="AL22" s="379"/>
      <c r="AM22" s="367"/>
      <c r="AN22" s="367"/>
      <c r="AO22" s="367"/>
      <c r="AP22" s="367"/>
    </row>
    <row r="23" spans="1:42">
      <c r="A23" s="367"/>
      <c r="B23" s="367"/>
      <c r="C23" s="367"/>
      <c r="D23" s="367"/>
      <c r="E23" s="367"/>
      <c r="F23" s="367"/>
      <c r="G23" s="367"/>
      <c r="H23" s="367"/>
      <c r="I23" s="367"/>
      <c r="J23" s="367"/>
      <c r="K23" s="367"/>
      <c r="L23" s="367"/>
      <c r="M23" s="367"/>
      <c r="N23" s="367"/>
      <c r="O23" s="367"/>
      <c r="P23" s="367"/>
      <c r="Q23" s="367"/>
      <c r="R23" s="367"/>
      <c r="S23" s="367"/>
      <c r="T23" s="367"/>
      <c r="U23" s="367"/>
      <c r="V23" s="367"/>
      <c r="W23" s="367"/>
      <c r="X23" s="367"/>
      <c r="Y23" s="367"/>
      <c r="Z23" s="367"/>
      <c r="AA23" s="367"/>
      <c r="AB23" s="367"/>
      <c r="AC23" s="367"/>
      <c r="AD23" s="367"/>
      <c r="AE23" s="367"/>
      <c r="AF23" s="367"/>
      <c r="AG23" s="367"/>
      <c r="AH23" s="375">
        <v>41079</v>
      </c>
      <c r="AI23" s="376">
        <v>3.01</v>
      </c>
      <c r="AJ23" s="377" t="s">
        <v>959</v>
      </c>
      <c r="AK23" s="378"/>
      <c r="AL23" s="379"/>
      <c r="AM23" s="367"/>
      <c r="AN23" s="367"/>
      <c r="AO23" s="367"/>
      <c r="AP23" s="367"/>
    </row>
    <row r="24" spans="1:42">
      <c r="A24" s="367"/>
      <c r="B24" s="367"/>
      <c r="C24" s="367"/>
      <c r="D24" s="367"/>
      <c r="E24" s="367"/>
      <c r="F24" s="367"/>
      <c r="G24" s="367"/>
      <c r="H24" s="367"/>
      <c r="I24" s="367"/>
      <c r="J24" s="367"/>
      <c r="K24" s="367"/>
      <c r="L24" s="367"/>
      <c r="M24" s="367"/>
      <c r="N24" s="367"/>
      <c r="O24" s="367"/>
      <c r="P24" s="367"/>
      <c r="Q24" s="367"/>
      <c r="R24" s="367"/>
      <c r="S24" s="367"/>
      <c r="T24" s="367"/>
      <c r="U24" s="367"/>
      <c r="V24" s="367"/>
      <c r="W24" s="367"/>
      <c r="X24" s="367"/>
      <c r="Y24" s="367"/>
      <c r="Z24" s="367"/>
      <c r="AA24" s="367"/>
      <c r="AB24" s="367"/>
      <c r="AC24" s="367"/>
      <c r="AD24" s="367"/>
      <c r="AE24" s="367"/>
      <c r="AF24" s="367"/>
      <c r="AG24" s="367"/>
      <c r="AH24" s="400">
        <v>41155</v>
      </c>
      <c r="AI24" s="383">
        <v>3.02</v>
      </c>
      <c r="AJ24" s="384" t="s">
        <v>960</v>
      </c>
      <c r="AK24" s="385"/>
      <c r="AL24" s="379"/>
      <c r="AM24" s="367"/>
      <c r="AN24" s="367"/>
      <c r="AO24" s="367"/>
      <c r="AP24" s="367"/>
    </row>
    <row r="25" spans="1:42" ht="13.5" customHeight="1">
      <c r="A25" s="367"/>
      <c r="B25" s="367"/>
      <c r="C25" s="367"/>
      <c r="D25" s="367"/>
      <c r="E25" s="367"/>
      <c r="F25" s="367"/>
      <c r="G25" s="367"/>
      <c r="H25" s="367"/>
      <c r="I25" s="367"/>
      <c r="J25" s="367"/>
      <c r="K25" s="367"/>
      <c r="L25" s="367"/>
      <c r="M25" s="367"/>
      <c r="N25" s="367"/>
      <c r="O25" s="367"/>
      <c r="P25" s="367"/>
      <c r="Q25" s="367"/>
      <c r="R25" s="367"/>
      <c r="S25" s="367"/>
      <c r="T25" s="367"/>
      <c r="U25" s="367"/>
      <c r="V25" s="367"/>
      <c r="W25" s="367"/>
      <c r="X25" s="367"/>
      <c r="Y25" s="367"/>
      <c r="Z25" s="367"/>
      <c r="AA25" s="367"/>
      <c r="AB25" s="367"/>
      <c r="AC25" s="367"/>
      <c r="AD25" s="367"/>
      <c r="AE25" s="367"/>
      <c r="AF25" s="367"/>
      <c r="AG25" s="367"/>
      <c r="AH25" s="400">
        <v>41487</v>
      </c>
      <c r="AI25" s="383">
        <v>3.03</v>
      </c>
      <c r="AJ25" s="551" t="s">
        <v>961</v>
      </c>
      <c r="AK25" s="552"/>
      <c r="AL25" s="553"/>
      <c r="AM25" s="367"/>
      <c r="AN25" s="367"/>
      <c r="AO25" s="367"/>
      <c r="AP25" s="367"/>
    </row>
    <row r="26" spans="1:42" ht="28.35" customHeight="1">
      <c r="A26" s="367"/>
      <c r="B26" s="367"/>
      <c r="C26" s="367"/>
      <c r="D26" s="367"/>
      <c r="E26" s="367"/>
      <c r="F26" s="367"/>
      <c r="G26" s="367"/>
      <c r="H26" s="367"/>
      <c r="I26" s="367"/>
      <c r="J26" s="367"/>
      <c r="K26" s="367"/>
      <c r="L26" s="367"/>
      <c r="M26" s="367"/>
      <c r="N26" s="367"/>
      <c r="O26" s="367"/>
      <c r="P26" s="367"/>
      <c r="Q26" s="367"/>
      <c r="R26" s="367"/>
      <c r="S26" s="367"/>
      <c r="T26" s="367"/>
      <c r="U26" s="367"/>
      <c r="V26" s="367"/>
      <c r="W26" s="367"/>
      <c r="X26" s="367"/>
      <c r="Y26" s="367"/>
      <c r="Z26" s="367"/>
      <c r="AA26" s="367"/>
      <c r="AB26" s="367"/>
      <c r="AC26" s="367"/>
      <c r="AD26" s="367"/>
      <c r="AE26" s="367"/>
      <c r="AF26" s="367"/>
      <c r="AG26" s="367"/>
      <c r="AH26" s="400">
        <v>42300</v>
      </c>
      <c r="AI26" s="383">
        <v>3.99</v>
      </c>
      <c r="AJ26" s="551" t="s">
        <v>963</v>
      </c>
      <c r="AK26" s="552"/>
      <c r="AL26" s="553"/>
      <c r="AM26" s="367"/>
      <c r="AN26" s="367"/>
      <c r="AO26" s="367"/>
      <c r="AP26" s="367"/>
    </row>
    <row r="27" spans="1:42">
      <c r="A27" s="367"/>
      <c r="B27" s="367"/>
      <c r="C27" s="367"/>
      <c r="D27" s="367"/>
      <c r="E27" s="367"/>
      <c r="F27" s="367"/>
      <c r="G27" s="367"/>
      <c r="H27" s="367"/>
      <c r="I27" s="367"/>
      <c r="J27" s="367"/>
      <c r="K27" s="367"/>
      <c r="L27" s="367"/>
      <c r="M27" s="367"/>
      <c r="N27" s="367"/>
      <c r="O27" s="367"/>
      <c r="P27" s="367"/>
      <c r="Q27" s="367"/>
      <c r="R27" s="367"/>
      <c r="S27" s="367"/>
      <c r="T27" s="367"/>
      <c r="U27" s="367"/>
      <c r="V27" s="367"/>
      <c r="W27" s="367"/>
      <c r="X27" s="367"/>
      <c r="Y27" s="367"/>
      <c r="Z27" s="367"/>
      <c r="AA27" s="367"/>
      <c r="AB27" s="367"/>
      <c r="AC27" s="367"/>
      <c r="AD27" s="367"/>
      <c r="AE27" s="367"/>
      <c r="AF27" s="367"/>
      <c r="AG27" s="367"/>
      <c r="AH27" s="400">
        <v>42304</v>
      </c>
      <c r="AI27" s="383">
        <v>4</v>
      </c>
      <c r="AJ27" s="551" t="s">
        <v>964</v>
      </c>
      <c r="AK27" s="552"/>
      <c r="AL27" s="553"/>
      <c r="AM27" s="367"/>
      <c r="AN27" s="367"/>
      <c r="AO27" s="367"/>
      <c r="AP27" s="367"/>
    </row>
    <row r="28" spans="1:42" ht="40.9" customHeight="1">
      <c r="A28" s="367"/>
      <c r="B28" s="367"/>
      <c r="C28" s="367"/>
      <c r="D28" s="367"/>
      <c r="E28" s="367"/>
      <c r="F28" s="367"/>
      <c r="G28" s="367"/>
      <c r="H28" s="367"/>
      <c r="I28" s="367"/>
      <c r="J28" s="367"/>
      <c r="K28" s="367"/>
      <c r="L28" s="367"/>
      <c r="M28" s="367"/>
      <c r="N28" s="367"/>
      <c r="O28" s="367"/>
      <c r="P28" s="367"/>
      <c r="Q28" s="367"/>
      <c r="R28" s="367"/>
      <c r="S28" s="367"/>
      <c r="T28" s="367"/>
      <c r="U28" s="367"/>
      <c r="V28" s="367"/>
      <c r="W28" s="367"/>
      <c r="X28" s="367"/>
      <c r="Y28" s="367"/>
      <c r="Z28" s="367"/>
      <c r="AA28" s="367"/>
      <c r="AB28" s="367"/>
      <c r="AC28" s="367"/>
      <c r="AD28" s="367"/>
      <c r="AE28" s="367"/>
      <c r="AF28" s="367"/>
      <c r="AG28" s="367"/>
      <c r="AH28" s="400">
        <v>45211</v>
      </c>
      <c r="AI28" s="383">
        <v>5</v>
      </c>
      <c r="AJ28" s="551" t="s">
        <v>1103</v>
      </c>
      <c r="AK28" s="552"/>
      <c r="AL28" s="553"/>
      <c r="AM28" s="367"/>
      <c r="AN28" s="367"/>
      <c r="AO28" s="367"/>
      <c r="AP28" s="367"/>
    </row>
    <row r="29" spans="1:42">
      <c r="A29" s="367"/>
      <c r="B29" s="367"/>
      <c r="C29" s="367"/>
      <c r="D29" s="367"/>
      <c r="E29" s="367"/>
      <c r="F29" s="367"/>
      <c r="G29" s="367"/>
      <c r="H29" s="367"/>
      <c r="I29" s="367"/>
      <c r="J29" s="367"/>
      <c r="K29" s="367"/>
      <c r="L29" s="367"/>
      <c r="M29" s="367"/>
      <c r="N29" s="367"/>
      <c r="O29" s="367"/>
      <c r="P29" s="367"/>
      <c r="Q29" s="367"/>
      <c r="R29" s="367"/>
      <c r="S29" s="367"/>
      <c r="T29" s="367"/>
      <c r="U29" s="367"/>
      <c r="V29" s="367"/>
      <c r="W29" s="367"/>
      <c r="X29" s="367"/>
      <c r="Y29" s="367"/>
      <c r="Z29" s="367"/>
      <c r="AA29" s="367"/>
      <c r="AB29" s="367"/>
      <c r="AC29" s="367"/>
      <c r="AD29" s="367"/>
      <c r="AE29" s="367"/>
      <c r="AF29" s="367"/>
      <c r="AG29" s="367"/>
      <c r="AH29" s="382"/>
      <c r="AI29" s="383"/>
      <c r="AJ29" s="384"/>
      <c r="AK29" s="385"/>
      <c r="AL29" s="379"/>
      <c r="AM29" s="367"/>
      <c r="AN29" s="367"/>
      <c r="AO29" s="367"/>
      <c r="AP29" s="367"/>
    </row>
    <row r="30" spans="1:42">
      <c r="A30" s="367"/>
      <c r="B30" s="367"/>
      <c r="C30" s="367"/>
      <c r="D30" s="367"/>
      <c r="E30" s="367"/>
      <c r="F30" s="367"/>
      <c r="G30" s="367"/>
      <c r="H30" s="367"/>
      <c r="I30" s="367"/>
      <c r="J30" s="367"/>
      <c r="K30" s="367"/>
      <c r="L30" s="367"/>
      <c r="M30" s="367"/>
      <c r="N30" s="367"/>
      <c r="O30" s="367"/>
      <c r="P30" s="367"/>
      <c r="Q30" s="367"/>
      <c r="R30" s="367"/>
      <c r="S30" s="367"/>
      <c r="T30" s="367"/>
      <c r="U30" s="367"/>
      <c r="V30" s="367"/>
      <c r="W30" s="367"/>
      <c r="X30" s="367"/>
      <c r="Y30" s="367"/>
      <c r="Z30" s="367"/>
      <c r="AA30" s="367"/>
      <c r="AB30" s="367"/>
      <c r="AC30" s="367"/>
      <c r="AD30" s="367"/>
      <c r="AE30" s="367"/>
      <c r="AF30" s="367"/>
      <c r="AG30" s="367"/>
      <c r="AH30" s="382"/>
      <c r="AI30" s="383"/>
      <c r="AJ30" s="384"/>
      <c r="AK30" s="385"/>
      <c r="AL30" s="379"/>
      <c r="AM30" s="367"/>
      <c r="AN30" s="367"/>
      <c r="AO30" s="367"/>
      <c r="AP30" s="367"/>
    </row>
    <row r="31" spans="1:42">
      <c r="A31" s="367"/>
      <c r="B31" s="367"/>
      <c r="C31" s="367"/>
      <c r="D31" s="367"/>
      <c r="E31" s="367"/>
      <c r="F31" s="367"/>
      <c r="G31" s="367"/>
      <c r="H31" s="367"/>
      <c r="I31" s="367"/>
      <c r="J31" s="367"/>
      <c r="K31" s="367"/>
      <c r="L31" s="367"/>
      <c r="M31" s="367"/>
      <c r="N31" s="367"/>
      <c r="O31" s="367"/>
      <c r="P31" s="367"/>
      <c r="Q31" s="367"/>
      <c r="R31" s="367"/>
      <c r="S31" s="367"/>
      <c r="T31" s="367"/>
      <c r="U31" s="367"/>
      <c r="V31" s="367"/>
      <c r="W31" s="367"/>
      <c r="X31" s="367"/>
      <c r="Y31" s="367"/>
      <c r="Z31" s="367"/>
      <c r="AA31" s="367"/>
      <c r="AB31" s="367"/>
      <c r="AC31" s="367"/>
      <c r="AD31" s="367"/>
      <c r="AE31" s="367"/>
      <c r="AF31" s="367"/>
      <c r="AG31" s="367"/>
      <c r="AH31" s="382"/>
      <c r="AI31" s="383"/>
      <c r="AJ31" s="384"/>
      <c r="AK31" s="385"/>
      <c r="AL31" s="379"/>
      <c r="AM31" s="367"/>
      <c r="AN31" s="367"/>
      <c r="AO31" s="367"/>
      <c r="AP31" s="367"/>
    </row>
    <row r="32" spans="1:42">
      <c r="A32" s="367"/>
      <c r="B32" s="367"/>
      <c r="C32" s="367"/>
      <c r="D32" s="367"/>
      <c r="E32" s="367"/>
      <c r="F32" s="367"/>
      <c r="G32" s="367"/>
      <c r="H32" s="367"/>
      <c r="I32" s="367"/>
      <c r="J32" s="367"/>
      <c r="K32" s="367"/>
      <c r="L32" s="367"/>
      <c r="M32" s="367"/>
      <c r="N32" s="367"/>
      <c r="O32" s="367"/>
      <c r="P32" s="367"/>
      <c r="Q32" s="367"/>
      <c r="R32" s="367"/>
      <c r="S32" s="367"/>
      <c r="T32" s="367"/>
      <c r="U32" s="367"/>
      <c r="V32" s="367"/>
      <c r="W32" s="367"/>
      <c r="X32" s="367"/>
      <c r="Y32" s="367"/>
      <c r="Z32" s="367"/>
      <c r="AA32" s="367"/>
      <c r="AB32" s="367"/>
      <c r="AC32" s="367"/>
      <c r="AD32" s="367"/>
      <c r="AE32" s="367"/>
      <c r="AF32" s="367"/>
      <c r="AG32" s="367"/>
      <c r="AH32" s="381"/>
      <c r="AI32" s="376"/>
      <c r="AJ32" s="377"/>
      <c r="AK32" s="378"/>
      <c r="AL32" s="379"/>
      <c r="AM32" s="367"/>
      <c r="AN32" s="367"/>
      <c r="AO32" s="367"/>
      <c r="AP32" s="367"/>
    </row>
    <row r="33" spans="1:42">
      <c r="A33" s="367"/>
      <c r="B33" s="367"/>
      <c r="C33" s="367"/>
      <c r="D33" s="367"/>
      <c r="E33" s="367"/>
      <c r="F33" s="367"/>
      <c r="G33" s="367"/>
      <c r="H33" s="367"/>
      <c r="I33" s="367"/>
      <c r="J33" s="367"/>
      <c r="K33" s="367"/>
      <c r="L33" s="367"/>
      <c r="M33" s="367"/>
      <c r="N33" s="367"/>
      <c r="O33" s="367"/>
      <c r="P33" s="367"/>
      <c r="Q33" s="367"/>
      <c r="R33" s="367"/>
      <c r="S33" s="367"/>
      <c r="T33" s="367"/>
      <c r="U33" s="367"/>
      <c r="V33" s="367"/>
      <c r="W33" s="367"/>
      <c r="X33" s="367"/>
      <c r="Y33" s="367"/>
      <c r="Z33" s="367"/>
      <c r="AA33" s="367"/>
      <c r="AB33" s="367"/>
      <c r="AC33" s="367"/>
      <c r="AD33" s="367"/>
      <c r="AE33" s="367"/>
      <c r="AF33" s="367"/>
      <c r="AG33" s="367"/>
      <c r="AH33" s="367"/>
      <c r="AI33" s="367"/>
      <c r="AJ33" s="367"/>
      <c r="AK33" s="367"/>
      <c r="AL33" s="367"/>
      <c r="AM33" s="367"/>
      <c r="AN33" s="367"/>
      <c r="AO33" s="367"/>
      <c r="AP33" s="367"/>
    </row>
    <row r="34" spans="1:42" ht="26.25">
      <c r="A34" s="367"/>
      <c r="B34" s="367"/>
      <c r="C34" s="367"/>
      <c r="D34" s="367"/>
      <c r="E34" s="367"/>
      <c r="F34" s="367"/>
      <c r="G34" s="367"/>
      <c r="H34" s="367"/>
      <c r="I34" s="367"/>
      <c r="J34" s="367"/>
      <c r="K34" s="367"/>
      <c r="L34" s="367"/>
      <c r="M34" s="367"/>
      <c r="N34" s="367"/>
      <c r="O34" s="367"/>
      <c r="P34" s="367"/>
      <c r="Q34" s="367"/>
      <c r="R34" s="367"/>
      <c r="S34" s="367"/>
      <c r="T34" s="367"/>
      <c r="U34" s="367"/>
      <c r="V34" s="367"/>
      <c r="W34" s="367"/>
      <c r="X34" s="367"/>
      <c r="Y34" s="367"/>
      <c r="Z34" s="367"/>
      <c r="AA34" s="367"/>
      <c r="AB34" s="367"/>
      <c r="AC34" s="367"/>
      <c r="AD34" s="367"/>
      <c r="AE34" s="367"/>
      <c r="AF34" s="367"/>
      <c r="AG34" s="367"/>
      <c r="AH34" s="368" t="str">
        <f>"Release "&amp;FIXED(MAX(AI16:AI32),2)</f>
        <v>Release 5.00</v>
      </c>
      <c r="AI34" s="367"/>
      <c r="AJ34" s="367"/>
      <c r="AK34" s="367"/>
      <c r="AL34" s="367"/>
      <c r="AM34" s="367"/>
      <c r="AN34" s="367"/>
      <c r="AO34" s="367"/>
      <c r="AP34" s="367"/>
    </row>
    <row r="35" spans="1:42">
      <c r="A35" s="367"/>
      <c r="B35" s="367"/>
      <c r="C35" s="367"/>
      <c r="D35" s="367"/>
      <c r="E35" s="367"/>
      <c r="F35" s="367"/>
      <c r="G35" s="367"/>
      <c r="H35" s="367"/>
      <c r="I35" s="367"/>
      <c r="J35" s="367"/>
      <c r="K35" s="367"/>
      <c r="L35" s="367"/>
      <c r="M35" s="367"/>
      <c r="N35" s="367"/>
      <c r="O35" s="367"/>
      <c r="P35" s="367"/>
      <c r="Q35" s="367"/>
      <c r="R35" s="367"/>
      <c r="S35" s="367"/>
      <c r="T35" s="367"/>
      <c r="U35" s="367"/>
      <c r="V35" s="367"/>
      <c r="W35" s="367"/>
      <c r="X35" s="367"/>
      <c r="Y35" s="367"/>
      <c r="Z35" s="367"/>
      <c r="AA35" s="367"/>
      <c r="AB35" s="367"/>
      <c r="AC35" s="367"/>
      <c r="AD35" s="367"/>
      <c r="AE35" s="367"/>
      <c r="AF35" s="367"/>
      <c r="AG35" s="367"/>
      <c r="AH35" s="367"/>
      <c r="AI35" s="367"/>
      <c r="AJ35" s="367"/>
      <c r="AK35" s="367"/>
      <c r="AL35" s="367"/>
      <c r="AM35" s="367"/>
      <c r="AN35" s="367"/>
      <c r="AO35" s="367"/>
      <c r="AP35" s="367"/>
    </row>
    <row r="36" spans="1:42">
      <c r="A36" s="367"/>
      <c r="B36" s="367"/>
      <c r="C36" s="367"/>
      <c r="D36" s="367"/>
      <c r="E36" s="367"/>
      <c r="F36" s="367"/>
      <c r="G36" s="367"/>
      <c r="H36" s="367"/>
      <c r="I36" s="367"/>
      <c r="J36" s="367"/>
      <c r="K36" s="367"/>
      <c r="L36" s="367"/>
      <c r="M36" s="367"/>
      <c r="N36" s="367"/>
      <c r="O36" s="367"/>
      <c r="P36" s="367"/>
      <c r="Q36" s="367"/>
      <c r="R36" s="367"/>
      <c r="S36" s="367"/>
      <c r="T36" s="367"/>
      <c r="U36" s="367"/>
      <c r="V36" s="367"/>
      <c r="W36" s="367"/>
      <c r="X36" s="367"/>
      <c r="Y36" s="367"/>
      <c r="Z36" s="367"/>
      <c r="AA36" s="367"/>
      <c r="AB36" s="367"/>
      <c r="AC36" s="367"/>
      <c r="AD36" s="367"/>
      <c r="AE36" s="367"/>
      <c r="AF36" s="367"/>
      <c r="AG36" s="367"/>
      <c r="AH36" s="367"/>
      <c r="AI36" s="367"/>
      <c r="AJ36" s="367"/>
      <c r="AK36" s="367"/>
      <c r="AL36" s="367"/>
      <c r="AM36" s="367"/>
      <c r="AN36" s="367"/>
      <c r="AO36" s="367"/>
      <c r="AP36" s="367"/>
    </row>
    <row r="37" spans="1:42">
      <c r="A37" s="367"/>
      <c r="B37" s="367"/>
      <c r="C37" s="367"/>
      <c r="D37" s="367"/>
      <c r="E37" s="367"/>
      <c r="F37" s="367"/>
      <c r="G37" s="367"/>
      <c r="H37" s="367"/>
      <c r="I37" s="367"/>
      <c r="J37" s="367"/>
      <c r="K37" s="367"/>
      <c r="L37" s="367"/>
      <c r="M37" s="367"/>
      <c r="N37" s="367"/>
      <c r="O37" s="367"/>
      <c r="P37" s="367"/>
      <c r="Q37" s="367"/>
      <c r="R37" s="367"/>
      <c r="S37" s="367"/>
      <c r="T37" s="367"/>
      <c r="U37" s="367"/>
      <c r="V37" s="367"/>
      <c r="W37" s="367"/>
      <c r="X37" s="367"/>
      <c r="Y37" s="367"/>
      <c r="Z37" s="367"/>
      <c r="AA37" s="367"/>
      <c r="AB37" s="367"/>
      <c r="AC37" s="367"/>
      <c r="AD37" s="367"/>
      <c r="AE37" s="367"/>
      <c r="AF37" s="367"/>
      <c r="AG37" s="367"/>
      <c r="AH37" s="367"/>
      <c r="AI37" s="367"/>
      <c r="AJ37" s="367"/>
      <c r="AK37" s="367"/>
      <c r="AL37" s="367"/>
      <c r="AM37" s="367"/>
      <c r="AN37" s="367"/>
      <c r="AO37" s="367"/>
      <c r="AP37" s="367"/>
    </row>
    <row r="38" spans="1:42">
      <c r="A38" s="367"/>
      <c r="B38" s="367"/>
      <c r="C38" s="367"/>
      <c r="D38" s="367"/>
      <c r="E38" s="367"/>
      <c r="F38" s="367"/>
      <c r="G38" s="367"/>
      <c r="H38" s="367"/>
      <c r="I38" s="367"/>
      <c r="J38" s="367"/>
      <c r="K38" s="367"/>
      <c r="L38" s="367"/>
      <c r="M38" s="367"/>
      <c r="N38" s="367"/>
      <c r="O38" s="367"/>
      <c r="P38" s="367"/>
      <c r="Q38" s="367"/>
      <c r="R38" s="367"/>
      <c r="S38" s="367"/>
      <c r="T38" s="367"/>
      <c r="U38" s="367"/>
      <c r="V38" s="367"/>
      <c r="W38" s="367"/>
      <c r="X38" s="367"/>
      <c r="Y38" s="367"/>
      <c r="Z38" s="367"/>
      <c r="AA38" s="367"/>
      <c r="AB38" s="367"/>
      <c r="AC38" s="367"/>
      <c r="AD38" s="367"/>
      <c r="AE38" s="367"/>
      <c r="AF38" s="367"/>
      <c r="AG38" s="367"/>
      <c r="AH38" s="367"/>
      <c r="AI38" s="367"/>
      <c r="AJ38" s="367"/>
      <c r="AK38" s="367"/>
      <c r="AL38" s="367"/>
      <c r="AM38" s="367"/>
      <c r="AN38" s="367"/>
      <c r="AO38" s="367"/>
      <c r="AP38" s="367"/>
    </row>
    <row r="39" spans="1:42">
      <c r="A39" s="367"/>
      <c r="B39" s="367"/>
      <c r="C39" s="367"/>
      <c r="D39" s="367"/>
      <c r="E39" s="367"/>
      <c r="F39" s="367"/>
      <c r="G39" s="367"/>
      <c r="H39" s="367"/>
      <c r="I39" s="367"/>
      <c r="J39" s="367"/>
      <c r="K39" s="367"/>
      <c r="L39" s="367"/>
      <c r="M39" s="367"/>
      <c r="N39" s="367"/>
      <c r="O39" s="367"/>
      <c r="P39" s="367"/>
      <c r="Q39" s="367"/>
      <c r="R39" s="367"/>
      <c r="S39" s="367"/>
      <c r="T39" s="367"/>
      <c r="U39" s="367"/>
      <c r="V39" s="367"/>
      <c r="W39" s="367"/>
      <c r="X39" s="367"/>
      <c r="Y39" s="367"/>
      <c r="Z39" s="367"/>
      <c r="AA39" s="367"/>
      <c r="AB39" s="367"/>
      <c r="AC39" s="367"/>
      <c r="AD39" s="367"/>
      <c r="AE39" s="367"/>
      <c r="AF39" s="367"/>
      <c r="AG39" s="367"/>
      <c r="AH39" s="367"/>
      <c r="AI39" s="367"/>
      <c r="AJ39" s="367"/>
      <c r="AK39" s="367"/>
      <c r="AL39" s="367"/>
      <c r="AM39" s="367"/>
      <c r="AN39" s="367"/>
      <c r="AO39" s="367"/>
      <c r="AP39" s="367"/>
    </row>
    <row r="40" spans="1:42">
      <c r="A40" s="367"/>
      <c r="B40" s="367"/>
      <c r="C40" s="367"/>
      <c r="D40" s="367"/>
      <c r="E40" s="367"/>
      <c r="F40" s="367"/>
      <c r="G40" s="367"/>
      <c r="H40" s="367"/>
      <c r="I40" s="367"/>
      <c r="J40" s="367"/>
      <c r="K40" s="367"/>
      <c r="L40" s="367"/>
      <c r="M40" s="367"/>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row>
    <row r="41" spans="1:42">
      <c r="A41" s="367"/>
      <c r="B41" s="367"/>
      <c r="C41" s="367"/>
      <c r="D41" s="367"/>
      <c r="E41" s="367"/>
      <c r="F41" s="367"/>
      <c r="G41" s="367"/>
      <c r="H41" s="367"/>
      <c r="I41" s="367"/>
      <c r="J41" s="367"/>
      <c r="K41" s="367"/>
      <c r="L41" s="367"/>
      <c r="M41" s="367"/>
      <c r="N41" s="367"/>
      <c r="O41" s="367"/>
      <c r="P41" s="367"/>
      <c r="Q41" s="367"/>
      <c r="R41" s="367"/>
      <c r="S41" s="367"/>
      <c r="T41" s="367"/>
      <c r="U41" s="367"/>
      <c r="V41" s="367"/>
      <c r="W41" s="367"/>
      <c r="X41" s="367"/>
      <c r="Y41" s="367"/>
      <c r="Z41" s="367"/>
      <c r="AA41" s="367"/>
      <c r="AB41" s="367"/>
      <c r="AC41" s="367"/>
      <c r="AD41" s="367"/>
      <c r="AE41" s="367"/>
      <c r="AF41" s="367"/>
      <c r="AG41" s="367"/>
      <c r="AH41" s="367"/>
      <c r="AI41" s="367"/>
      <c r="AJ41" s="367"/>
      <c r="AK41" s="367"/>
      <c r="AL41" s="367"/>
      <c r="AM41" s="367"/>
      <c r="AN41" s="367"/>
      <c r="AO41" s="367"/>
      <c r="AP41" s="367"/>
    </row>
    <row r="42" spans="1:42">
      <c r="A42" s="367"/>
      <c r="B42" s="367"/>
      <c r="C42" s="367"/>
      <c r="D42" s="367"/>
      <c r="E42" s="367"/>
      <c r="F42" s="367"/>
      <c r="G42" s="367"/>
      <c r="H42" s="367"/>
      <c r="I42" s="367"/>
      <c r="J42" s="367"/>
      <c r="K42" s="367"/>
      <c r="L42" s="367"/>
      <c r="M42" s="367"/>
      <c r="N42" s="367"/>
      <c r="O42" s="367"/>
      <c r="P42" s="367"/>
      <c r="Q42" s="367"/>
      <c r="R42" s="367"/>
      <c r="S42" s="367"/>
      <c r="T42" s="367"/>
      <c r="U42" s="367"/>
      <c r="V42" s="367"/>
      <c r="W42" s="367"/>
      <c r="X42" s="367"/>
      <c r="Y42" s="367"/>
      <c r="Z42" s="367"/>
      <c r="AA42" s="367"/>
      <c r="AB42" s="367"/>
      <c r="AC42" s="367"/>
      <c r="AD42" s="367"/>
      <c r="AE42" s="367"/>
      <c r="AF42" s="367"/>
      <c r="AG42" s="367"/>
      <c r="AH42" s="367"/>
      <c r="AI42" s="367"/>
      <c r="AJ42" s="367"/>
      <c r="AK42" s="367"/>
      <c r="AL42" s="367"/>
      <c r="AM42" s="367"/>
      <c r="AN42" s="367"/>
      <c r="AO42" s="367"/>
      <c r="AP42" s="367"/>
    </row>
    <row r="43" spans="1:42">
      <c r="A43" s="367"/>
      <c r="B43" s="367"/>
      <c r="C43" s="367"/>
      <c r="D43" s="367"/>
      <c r="E43" s="367"/>
      <c r="F43" s="367"/>
      <c r="G43" s="367"/>
      <c r="H43" s="367"/>
      <c r="I43" s="367"/>
      <c r="J43" s="367"/>
      <c r="K43" s="367"/>
      <c r="L43" s="367"/>
      <c r="M43" s="367"/>
      <c r="N43" s="367"/>
      <c r="O43" s="367"/>
      <c r="P43" s="367"/>
      <c r="Q43" s="367"/>
      <c r="R43" s="367"/>
      <c r="S43" s="367"/>
      <c r="T43" s="367"/>
      <c r="U43" s="367"/>
      <c r="V43" s="367"/>
      <c r="W43" s="367"/>
      <c r="X43" s="367"/>
      <c r="Y43" s="367"/>
      <c r="Z43" s="367"/>
      <c r="AA43" s="367"/>
      <c r="AB43" s="367"/>
      <c r="AC43" s="367"/>
      <c r="AD43" s="367"/>
      <c r="AE43" s="367"/>
      <c r="AF43" s="367"/>
      <c r="AG43" s="367"/>
      <c r="AH43" s="367"/>
      <c r="AI43" s="367"/>
      <c r="AJ43" s="367"/>
      <c r="AK43" s="367"/>
      <c r="AL43" s="367"/>
      <c r="AM43" s="367"/>
      <c r="AN43" s="367"/>
      <c r="AO43" s="367"/>
      <c r="AP43" s="367"/>
    </row>
    <row r="44" spans="1:42">
      <c r="A44" s="367"/>
      <c r="B44" s="367"/>
      <c r="C44" s="367"/>
      <c r="D44" s="367"/>
      <c r="E44" s="367"/>
      <c r="F44" s="367"/>
      <c r="G44" s="367"/>
      <c r="H44" s="367"/>
      <c r="I44" s="367"/>
      <c r="J44" s="367"/>
      <c r="K44" s="367"/>
      <c r="L44" s="367"/>
      <c r="M44" s="367"/>
      <c r="N44" s="367"/>
      <c r="O44" s="367"/>
      <c r="P44" s="367"/>
      <c r="Q44" s="367"/>
      <c r="R44" s="367"/>
      <c r="S44" s="367"/>
      <c r="T44" s="367"/>
      <c r="U44" s="367"/>
      <c r="V44" s="367"/>
      <c r="W44" s="367"/>
      <c r="X44" s="367"/>
      <c r="Y44" s="367"/>
      <c r="Z44" s="367"/>
      <c r="AA44" s="367"/>
      <c r="AB44" s="367"/>
      <c r="AC44" s="367"/>
      <c r="AD44" s="367"/>
      <c r="AE44" s="367"/>
      <c r="AF44" s="367"/>
      <c r="AG44" s="367"/>
      <c r="AH44" s="367"/>
      <c r="AI44" s="367"/>
      <c r="AJ44" s="367"/>
      <c r="AK44" s="367"/>
      <c r="AL44" s="367"/>
      <c r="AM44" s="367"/>
      <c r="AN44" s="367"/>
      <c r="AO44" s="367"/>
      <c r="AP44" s="367"/>
    </row>
    <row r="45" spans="1:42">
      <c r="A45" s="367"/>
      <c r="B45" s="367"/>
      <c r="C45" s="367"/>
      <c r="D45" s="367"/>
      <c r="E45" s="367"/>
      <c r="F45" s="367"/>
      <c r="G45" s="367"/>
      <c r="H45" s="367"/>
      <c r="I45" s="367"/>
      <c r="J45" s="367"/>
      <c r="K45" s="367"/>
      <c r="L45" s="367"/>
      <c r="M45" s="367"/>
      <c r="N45" s="367"/>
      <c r="O45" s="367"/>
      <c r="P45" s="367"/>
      <c r="Q45" s="367"/>
      <c r="R45" s="367"/>
      <c r="S45" s="367"/>
      <c r="T45" s="367"/>
      <c r="U45" s="367"/>
      <c r="V45" s="367"/>
      <c r="W45" s="367"/>
      <c r="X45" s="367"/>
      <c r="Y45" s="367"/>
      <c r="Z45" s="367"/>
      <c r="AA45" s="367"/>
      <c r="AB45" s="367"/>
      <c r="AC45" s="367"/>
      <c r="AD45" s="367"/>
      <c r="AE45" s="367"/>
      <c r="AF45" s="367"/>
      <c r="AG45" s="367"/>
      <c r="AH45" s="367"/>
      <c r="AI45" s="367"/>
      <c r="AJ45" s="367"/>
      <c r="AK45" s="367"/>
      <c r="AL45" s="367"/>
      <c r="AM45" s="367"/>
      <c r="AN45" s="367"/>
      <c r="AO45" s="367"/>
      <c r="AP45" s="367"/>
    </row>
    <row r="46" spans="1:42">
      <c r="A46" s="367"/>
      <c r="B46" s="367"/>
      <c r="C46" s="367"/>
      <c r="D46" s="367"/>
      <c r="E46" s="367"/>
      <c r="F46" s="367"/>
      <c r="G46" s="367"/>
      <c r="H46" s="367"/>
      <c r="I46" s="367"/>
      <c r="J46" s="367"/>
      <c r="K46" s="367"/>
      <c r="L46" s="367"/>
      <c r="M46" s="367"/>
      <c r="N46" s="367"/>
      <c r="O46" s="367"/>
      <c r="P46" s="367"/>
      <c r="Q46" s="367"/>
      <c r="R46" s="367"/>
      <c r="S46" s="367"/>
      <c r="T46" s="367"/>
      <c r="U46" s="367"/>
      <c r="V46" s="367"/>
      <c r="W46" s="367"/>
      <c r="X46" s="367"/>
      <c r="Y46" s="367"/>
      <c r="Z46" s="367"/>
      <c r="AA46" s="367"/>
      <c r="AB46" s="367"/>
      <c r="AC46" s="367"/>
      <c r="AD46" s="367"/>
      <c r="AE46" s="367"/>
      <c r="AF46" s="367"/>
      <c r="AG46" s="367"/>
      <c r="AH46" s="367"/>
      <c r="AI46" s="367"/>
      <c r="AJ46" s="367"/>
      <c r="AK46" s="367"/>
      <c r="AL46" s="367"/>
      <c r="AM46" s="367"/>
      <c r="AN46" s="367"/>
      <c r="AO46" s="367"/>
      <c r="AP46" s="367"/>
    </row>
    <row r="47" spans="1:42">
      <c r="A47" s="367"/>
      <c r="B47" s="367"/>
      <c r="C47" s="367"/>
      <c r="D47" s="367"/>
      <c r="E47" s="367"/>
      <c r="F47" s="367"/>
      <c r="G47" s="367"/>
      <c r="H47" s="367"/>
      <c r="I47" s="367"/>
      <c r="J47" s="367"/>
      <c r="K47" s="367"/>
      <c r="L47" s="367"/>
      <c r="M47" s="367"/>
      <c r="N47" s="367"/>
      <c r="O47" s="367"/>
      <c r="P47" s="367"/>
      <c r="Q47" s="367"/>
      <c r="R47" s="367"/>
      <c r="S47" s="367"/>
      <c r="T47" s="367"/>
      <c r="U47" s="367"/>
      <c r="V47" s="367"/>
      <c r="W47" s="367"/>
      <c r="X47" s="367"/>
      <c r="Y47" s="367"/>
      <c r="Z47" s="367"/>
      <c r="AA47" s="367"/>
      <c r="AB47" s="367"/>
      <c r="AC47" s="367"/>
      <c r="AD47" s="367"/>
      <c r="AE47" s="367"/>
      <c r="AF47" s="367"/>
      <c r="AG47" s="367"/>
      <c r="AH47" s="367"/>
      <c r="AI47" s="367"/>
      <c r="AJ47" s="367"/>
      <c r="AK47" s="367"/>
      <c r="AL47" s="367"/>
      <c r="AM47" s="367"/>
      <c r="AN47" s="367"/>
      <c r="AO47" s="367"/>
      <c r="AP47" s="367"/>
    </row>
    <row r="48" spans="1:42">
      <c r="A48" s="367"/>
      <c r="B48" s="367"/>
      <c r="C48" s="367"/>
      <c r="D48" s="367"/>
      <c r="E48" s="367"/>
      <c r="F48" s="367"/>
      <c r="G48" s="367"/>
      <c r="H48" s="367"/>
      <c r="I48" s="367"/>
      <c r="J48" s="367"/>
      <c r="K48" s="367"/>
      <c r="L48" s="367"/>
      <c r="M48" s="367"/>
      <c r="N48" s="367"/>
      <c r="O48" s="367"/>
      <c r="P48" s="367"/>
      <c r="Q48" s="367"/>
      <c r="R48" s="367"/>
      <c r="S48" s="367"/>
      <c r="T48" s="367"/>
      <c r="U48" s="367"/>
      <c r="V48" s="367"/>
      <c r="W48" s="367"/>
      <c r="X48" s="367"/>
      <c r="Y48" s="367"/>
      <c r="Z48" s="367"/>
      <c r="AA48" s="367"/>
      <c r="AB48" s="367"/>
      <c r="AC48" s="367"/>
      <c r="AD48" s="367"/>
      <c r="AE48" s="367"/>
      <c r="AF48" s="367"/>
      <c r="AG48" s="367"/>
      <c r="AH48" s="367"/>
      <c r="AI48" s="367"/>
      <c r="AJ48" s="367"/>
      <c r="AK48" s="367"/>
      <c r="AL48" s="367"/>
      <c r="AM48" s="367"/>
      <c r="AN48" s="367"/>
      <c r="AO48" s="367"/>
      <c r="AP48" s="367"/>
    </row>
    <row r="49" spans="1:42">
      <c r="A49" s="367"/>
      <c r="B49" s="367"/>
      <c r="C49" s="367"/>
      <c r="D49" s="367"/>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row>
    <row r="50" spans="1:42">
      <c r="A50" s="367"/>
      <c r="B50" s="367"/>
      <c r="C50" s="367"/>
      <c r="D50" s="367"/>
      <c r="E50" s="367"/>
      <c r="F50" s="367"/>
      <c r="G50" s="367"/>
      <c r="H50" s="367"/>
      <c r="I50" s="367"/>
      <c r="J50" s="367"/>
      <c r="K50" s="367"/>
      <c r="L50" s="367"/>
      <c r="M50" s="367"/>
      <c r="N50" s="367"/>
      <c r="O50" s="367"/>
      <c r="P50" s="367"/>
      <c r="Q50" s="367"/>
      <c r="R50" s="367"/>
      <c r="S50" s="367"/>
      <c r="T50" s="367"/>
      <c r="U50" s="367"/>
      <c r="V50" s="367"/>
      <c r="W50" s="367"/>
      <c r="X50" s="367"/>
      <c r="Y50" s="367"/>
      <c r="Z50" s="367"/>
      <c r="AA50" s="367"/>
      <c r="AB50" s="367"/>
      <c r="AC50" s="367"/>
      <c r="AD50" s="367"/>
      <c r="AE50" s="367"/>
      <c r="AF50" s="367"/>
      <c r="AG50" s="367"/>
      <c r="AH50" s="367"/>
      <c r="AI50" s="367"/>
      <c r="AJ50" s="367"/>
      <c r="AK50" s="367"/>
      <c r="AL50" s="367"/>
      <c r="AM50" s="367"/>
      <c r="AN50" s="367"/>
      <c r="AO50" s="367"/>
      <c r="AP50" s="367"/>
    </row>
    <row r="51" spans="1:42">
      <c r="A51" s="367"/>
      <c r="B51" s="367"/>
      <c r="C51" s="367"/>
      <c r="D51" s="367"/>
      <c r="E51" s="367"/>
      <c r="F51" s="367"/>
      <c r="G51" s="367"/>
      <c r="H51" s="367"/>
      <c r="I51" s="367"/>
      <c r="J51" s="367"/>
      <c r="K51" s="367"/>
      <c r="L51" s="367"/>
      <c r="M51" s="367"/>
      <c r="N51" s="367"/>
      <c r="O51" s="367"/>
      <c r="P51" s="367"/>
      <c r="Q51" s="367"/>
      <c r="R51" s="367"/>
      <c r="S51" s="367"/>
      <c r="T51" s="367"/>
      <c r="U51" s="367"/>
      <c r="V51" s="367"/>
      <c r="W51" s="367"/>
      <c r="X51" s="367"/>
      <c r="Y51" s="367"/>
      <c r="Z51" s="367"/>
      <c r="AA51" s="367"/>
      <c r="AB51" s="367"/>
      <c r="AC51" s="367"/>
      <c r="AD51" s="367"/>
      <c r="AE51" s="367"/>
      <c r="AF51" s="367"/>
      <c r="AG51" s="367"/>
      <c r="AH51" s="367"/>
      <c r="AI51" s="367"/>
      <c r="AJ51" s="367"/>
      <c r="AK51" s="367"/>
      <c r="AL51" s="367"/>
      <c r="AM51" s="367"/>
      <c r="AN51" s="367"/>
      <c r="AO51" s="367"/>
      <c r="AP51" s="367"/>
    </row>
    <row r="52" spans="1:42">
      <c r="A52" s="367"/>
      <c r="B52" s="367"/>
      <c r="C52" s="367"/>
      <c r="D52" s="367"/>
      <c r="E52" s="367"/>
      <c r="F52" s="367"/>
      <c r="G52" s="367"/>
      <c r="H52" s="367"/>
      <c r="I52" s="367"/>
      <c r="J52" s="367"/>
      <c r="K52" s="367"/>
      <c r="L52" s="367"/>
      <c r="M52" s="367"/>
      <c r="N52" s="367"/>
      <c r="O52" s="367"/>
      <c r="P52" s="367"/>
      <c r="Q52" s="367"/>
      <c r="R52" s="367"/>
      <c r="S52" s="367"/>
      <c r="T52" s="367"/>
      <c r="U52" s="367"/>
      <c r="V52" s="367"/>
      <c r="W52" s="367"/>
      <c r="X52" s="367"/>
      <c r="Y52" s="367"/>
      <c r="Z52" s="367"/>
      <c r="AA52" s="367"/>
      <c r="AB52" s="367"/>
      <c r="AC52" s="367"/>
      <c r="AD52" s="367"/>
      <c r="AE52" s="367"/>
      <c r="AF52" s="367"/>
      <c r="AG52" s="367"/>
      <c r="AH52" s="367"/>
      <c r="AI52" s="367"/>
      <c r="AJ52" s="367"/>
      <c r="AK52" s="367"/>
      <c r="AL52" s="367"/>
      <c r="AM52" s="367"/>
      <c r="AN52" s="367"/>
      <c r="AO52" s="367"/>
      <c r="AP52" s="367"/>
    </row>
    <row r="53" spans="1:42">
      <c r="A53" s="367"/>
      <c r="B53" s="367"/>
      <c r="C53" s="367"/>
      <c r="D53" s="367"/>
      <c r="E53" s="367"/>
      <c r="F53" s="367"/>
      <c r="G53" s="367"/>
      <c r="H53" s="367"/>
      <c r="I53" s="367"/>
      <c r="J53" s="367"/>
      <c r="K53" s="367"/>
      <c r="L53" s="367"/>
      <c r="M53" s="367"/>
      <c r="N53" s="367"/>
      <c r="O53" s="367"/>
      <c r="P53" s="367"/>
      <c r="Q53" s="367"/>
      <c r="R53" s="367"/>
      <c r="S53" s="367"/>
      <c r="T53" s="367"/>
      <c r="U53" s="367"/>
      <c r="V53" s="367"/>
      <c r="W53" s="367"/>
      <c r="X53" s="367"/>
      <c r="Y53" s="367"/>
      <c r="Z53" s="367"/>
      <c r="AA53" s="367"/>
      <c r="AB53" s="367"/>
      <c r="AC53" s="367"/>
      <c r="AD53" s="367"/>
      <c r="AE53" s="367"/>
      <c r="AF53" s="367"/>
      <c r="AG53" s="367"/>
      <c r="AH53" s="367"/>
      <c r="AI53" s="367"/>
      <c r="AJ53" s="367"/>
      <c r="AK53" s="367"/>
      <c r="AL53" s="367"/>
      <c r="AM53" s="367"/>
      <c r="AN53" s="367"/>
      <c r="AO53" s="367"/>
      <c r="AP53" s="367"/>
    </row>
    <row r="54" spans="1:42">
      <c r="A54" s="367"/>
      <c r="B54" s="367"/>
      <c r="C54" s="367"/>
      <c r="D54" s="367"/>
      <c r="E54" s="367"/>
      <c r="F54" s="367"/>
      <c r="G54" s="367"/>
      <c r="H54" s="367"/>
      <c r="I54" s="367"/>
      <c r="J54" s="367"/>
      <c r="K54" s="367"/>
      <c r="L54" s="367"/>
      <c r="M54" s="367"/>
      <c r="N54" s="367"/>
      <c r="O54" s="367"/>
      <c r="P54" s="367"/>
      <c r="Q54" s="367"/>
      <c r="R54" s="367"/>
      <c r="S54" s="367"/>
      <c r="T54" s="367"/>
      <c r="U54" s="367"/>
      <c r="V54" s="367"/>
      <c r="W54" s="367"/>
      <c r="X54" s="367"/>
      <c r="Y54" s="367"/>
      <c r="Z54" s="367"/>
      <c r="AA54" s="367"/>
      <c r="AB54" s="367"/>
      <c r="AC54" s="367"/>
      <c r="AD54" s="367"/>
      <c r="AE54" s="367"/>
      <c r="AF54" s="367"/>
      <c r="AG54" s="367"/>
      <c r="AH54" s="367"/>
      <c r="AI54" s="367"/>
      <c r="AJ54" s="367"/>
      <c r="AK54" s="367"/>
      <c r="AL54" s="367"/>
      <c r="AM54" s="367"/>
      <c r="AN54" s="367"/>
      <c r="AO54" s="367"/>
      <c r="AP54" s="367"/>
    </row>
    <row r="55" spans="1:42">
      <c r="A55" s="367"/>
      <c r="B55" s="367"/>
      <c r="C55" s="367"/>
      <c r="D55" s="367"/>
      <c r="E55" s="367"/>
      <c r="F55" s="367"/>
      <c r="G55" s="367"/>
      <c r="H55" s="367"/>
      <c r="I55" s="367"/>
      <c r="J55" s="367"/>
      <c r="K55" s="367"/>
      <c r="L55" s="367"/>
      <c r="M55" s="367"/>
      <c r="N55" s="367"/>
      <c r="O55" s="367"/>
      <c r="P55" s="367"/>
      <c r="Q55" s="367"/>
      <c r="R55" s="367"/>
      <c r="S55" s="367"/>
      <c r="T55" s="367"/>
      <c r="U55" s="367"/>
      <c r="V55" s="367"/>
      <c r="W55" s="367"/>
      <c r="X55" s="367"/>
      <c r="Y55" s="367"/>
      <c r="Z55" s="367"/>
      <c r="AA55" s="367"/>
      <c r="AB55" s="367"/>
      <c r="AC55" s="367"/>
      <c r="AD55" s="367"/>
      <c r="AE55" s="367"/>
      <c r="AF55" s="367"/>
      <c r="AG55" s="367"/>
      <c r="AH55" s="367"/>
      <c r="AI55" s="367"/>
      <c r="AJ55" s="367"/>
      <c r="AK55" s="367"/>
      <c r="AL55" s="367"/>
      <c r="AM55" s="367"/>
      <c r="AN55" s="367"/>
      <c r="AO55" s="367"/>
      <c r="AP55" s="367"/>
    </row>
    <row r="56" spans="1:42">
      <c r="A56" s="367"/>
      <c r="B56" s="367"/>
      <c r="C56" s="367"/>
      <c r="D56" s="367"/>
      <c r="E56" s="367"/>
      <c r="F56" s="367"/>
      <c r="G56" s="367"/>
      <c r="H56" s="367"/>
      <c r="I56" s="367"/>
      <c r="J56" s="367"/>
      <c r="K56" s="367"/>
      <c r="L56" s="367"/>
      <c r="M56" s="367"/>
      <c r="N56" s="367"/>
      <c r="O56" s="367"/>
      <c r="P56" s="367"/>
      <c r="Q56" s="367"/>
      <c r="R56" s="367"/>
      <c r="S56" s="367"/>
      <c r="T56" s="367"/>
      <c r="U56" s="367"/>
      <c r="V56" s="367"/>
      <c r="W56" s="367"/>
      <c r="X56" s="367"/>
      <c r="Y56" s="367"/>
      <c r="Z56" s="367"/>
      <c r="AA56" s="367"/>
      <c r="AB56" s="367"/>
      <c r="AC56" s="367"/>
      <c r="AD56" s="367"/>
      <c r="AE56" s="367"/>
      <c r="AF56" s="367"/>
      <c r="AG56" s="367"/>
      <c r="AH56" s="367"/>
      <c r="AI56" s="367"/>
      <c r="AJ56" s="367"/>
      <c r="AK56" s="367"/>
      <c r="AL56" s="367"/>
      <c r="AM56" s="367"/>
      <c r="AN56" s="367"/>
      <c r="AO56" s="367"/>
      <c r="AP56" s="367"/>
    </row>
    <row r="57" spans="1:42">
      <c r="A57" s="367"/>
      <c r="B57" s="367"/>
      <c r="C57" s="367"/>
      <c r="D57" s="367"/>
      <c r="E57" s="367"/>
      <c r="F57" s="367"/>
      <c r="G57" s="367"/>
      <c r="H57" s="367"/>
      <c r="I57" s="367"/>
      <c r="J57" s="367"/>
      <c r="K57" s="367"/>
      <c r="L57" s="367"/>
      <c r="M57" s="367"/>
      <c r="N57" s="367"/>
      <c r="O57" s="367"/>
      <c r="P57" s="367"/>
      <c r="Q57" s="367"/>
      <c r="R57" s="367"/>
      <c r="S57" s="367"/>
      <c r="T57" s="367"/>
      <c r="U57" s="367"/>
      <c r="V57" s="367"/>
      <c r="W57" s="367"/>
      <c r="X57" s="367"/>
      <c r="Y57" s="367"/>
      <c r="Z57" s="367"/>
      <c r="AA57" s="367"/>
      <c r="AB57" s="367"/>
      <c r="AC57" s="367"/>
      <c r="AD57" s="367"/>
      <c r="AE57" s="367"/>
      <c r="AF57" s="367"/>
      <c r="AG57" s="367"/>
      <c r="AH57" s="367"/>
      <c r="AI57" s="367"/>
      <c r="AJ57" s="367"/>
      <c r="AK57" s="367"/>
      <c r="AL57" s="367"/>
      <c r="AM57" s="367"/>
      <c r="AN57" s="367"/>
      <c r="AO57" s="367"/>
      <c r="AP57" s="367"/>
    </row>
    <row r="58" spans="1:42">
      <c r="A58" s="367"/>
      <c r="B58" s="367"/>
      <c r="C58" s="367"/>
      <c r="D58" s="367"/>
      <c r="E58" s="367"/>
      <c r="F58" s="367"/>
      <c r="G58" s="367"/>
      <c r="H58" s="367"/>
      <c r="I58" s="367"/>
      <c r="J58" s="367"/>
      <c r="K58" s="367"/>
      <c r="L58" s="367"/>
      <c r="M58" s="367"/>
      <c r="N58" s="367"/>
      <c r="O58" s="367"/>
      <c r="P58" s="367"/>
      <c r="Q58" s="367"/>
      <c r="R58" s="367"/>
      <c r="S58" s="367"/>
      <c r="T58" s="367"/>
      <c r="U58" s="367"/>
      <c r="V58" s="367"/>
      <c r="W58" s="367"/>
      <c r="X58" s="367"/>
      <c r="Y58" s="367"/>
      <c r="Z58" s="367"/>
      <c r="AA58" s="367"/>
      <c r="AB58" s="367"/>
      <c r="AC58" s="367"/>
      <c r="AD58" s="367"/>
      <c r="AE58" s="367"/>
      <c r="AF58" s="367"/>
      <c r="AG58" s="367"/>
      <c r="AH58" s="367"/>
      <c r="AI58" s="367"/>
      <c r="AJ58" s="367"/>
      <c r="AK58" s="367"/>
      <c r="AL58" s="367"/>
      <c r="AM58" s="367"/>
      <c r="AN58" s="367"/>
      <c r="AO58" s="367"/>
      <c r="AP58" s="367"/>
    </row>
    <row r="59" spans="1:42">
      <c r="A59" s="367"/>
      <c r="B59" s="367"/>
      <c r="C59" s="367"/>
      <c r="D59" s="367"/>
      <c r="E59" s="367"/>
      <c r="F59" s="367"/>
      <c r="G59" s="367"/>
      <c r="H59" s="367"/>
      <c r="I59" s="367"/>
      <c r="J59" s="367"/>
      <c r="K59" s="367"/>
      <c r="L59" s="367"/>
      <c r="M59" s="367"/>
      <c r="N59" s="367"/>
      <c r="O59" s="367"/>
      <c r="P59" s="367"/>
      <c r="Q59" s="367"/>
      <c r="R59" s="367"/>
      <c r="S59" s="367"/>
      <c r="T59" s="367"/>
      <c r="U59" s="367"/>
      <c r="V59" s="367"/>
      <c r="W59" s="367"/>
      <c r="X59" s="367"/>
      <c r="Y59" s="367"/>
      <c r="Z59" s="367"/>
      <c r="AA59" s="367"/>
      <c r="AB59" s="367"/>
      <c r="AC59" s="367"/>
      <c r="AD59" s="367"/>
      <c r="AE59" s="367"/>
      <c r="AF59" s="367"/>
      <c r="AG59" s="367"/>
      <c r="AH59" s="367"/>
      <c r="AI59" s="367"/>
      <c r="AJ59" s="367"/>
      <c r="AK59" s="367"/>
      <c r="AL59" s="367"/>
      <c r="AM59" s="367"/>
      <c r="AN59" s="367"/>
      <c r="AO59" s="367"/>
      <c r="AP59" s="367"/>
    </row>
    <row r="60" spans="1:42">
      <c r="A60" s="367"/>
      <c r="B60" s="367"/>
      <c r="C60" s="367"/>
      <c r="D60" s="367"/>
      <c r="E60" s="367"/>
      <c r="F60" s="367"/>
      <c r="G60" s="367"/>
      <c r="H60" s="367"/>
      <c r="I60" s="367"/>
      <c r="J60" s="367"/>
      <c r="K60" s="367"/>
      <c r="L60" s="367"/>
      <c r="M60" s="367"/>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row>
    <row r="61" spans="1:42">
      <c r="A61" s="367"/>
      <c r="B61" s="367"/>
      <c r="C61" s="367"/>
      <c r="D61" s="367"/>
      <c r="E61" s="367"/>
      <c r="F61" s="367"/>
      <c r="G61" s="367"/>
      <c r="H61" s="367"/>
      <c r="I61" s="367"/>
      <c r="J61" s="367"/>
      <c r="K61" s="367"/>
      <c r="L61" s="367"/>
      <c r="M61" s="367"/>
      <c r="N61" s="367"/>
      <c r="O61" s="367"/>
      <c r="P61" s="367"/>
      <c r="Q61" s="367"/>
      <c r="R61" s="367"/>
      <c r="S61" s="367"/>
      <c r="T61" s="367"/>
      <c r="U61" s="367"/>
      <c r="V61" s="367"/>
      <c r="W61" s="367"/>
      <c r="X61" s="367"/>
      <c r="Y61" s="367"/>
      <c r="Z61" s="367"/>
      <c r="AA61" s="367"/>
      <c r="AB61" s="367"/>
      <c r="AC61" s="367"/>
      <c r="AD61" s="367"/>
      <c r="AE61" s="367"/>
      <c r="AF61" s="367"/>
      <c r="AG61" s="367"/>
      <c r="AH61" s="367"/>
      <c r="AI61" s="367"/>
      <c r="AJ61" s="367"/>
      <c r="AK61" s="367"/>
      <c r="AL61" s="367"/>
      <c r="AM61" s="367"/>
      <c r="AN61" s="367"/>
      <c r="AO61" s="367"/>
      <c r="AP61" s="367"/>
    </row>
    <row r="62" spans="1:42">
      <c r="A62" s="367"/>
      <c r="B62" s="367"/>
      <c r="C62" s="367"/>
      <c r="D62" s="367"/>
      <c r="E62" s="367"/>
      <c r="F62" s="367"/>
      <c r="G62" s="367"/>
      <c r="H62" s="367"/>
      <c r="I62" s="367"/>
      <c r="J62" s="367"/>
      <c r="K62" s="367"/>
      <c r="L62" s="367"/>
      <c r="M62" s="367"/>
      <c r="N62" s="367"/>
      <c r="O62" s="367"/>
      <c r="P62" s="367"/>
      <c r="Q62" s="367"/>
      <c r="R62" s="367"/>
      <c r="S62" s="367"/>
      <c r="T62" s="367"/>
      <c r="U62" s="367"/>
      <c r="V62" s="367"/>
      <c r="W62" s="367"/>
      <c r="X62" s="367"/>
      <c r="Y62" s="367"/>
      <c r="Z62" s="367"/>
      <c r="AA62" s="367"/>
      <c r="AB62" s="367"/>
      <c r="AC62" s="367"/>
      <c r="AD62" s="367"/>
      <c r="AE62" s="367"/>
      <c r="AF62" s="367"/>
      <c r="AG62" s="367"/>
      <c r="AH62" s="367"/>
      <c r="AI62" s="367"/>
      <c r="AJ62" s="367"/>
      <c r="AK62" s="367"/>
      <c r="AL62" s="367"/>
      <c r="AM62" s="367"/>
      <c r="AN62" s="367"/>
      <c r="AO62" s="367"/>
      <c r="AP62" s="367"/>
    </row>
    <row r="63" spans="1:42">
      <c r="A63" s="367"/>
      <c r="B63" s="367"/>
      <c r="C63" s="367"/>
      <c r="D63" s="367"/>
      <c r="E63" s="367"/>
      <c r="F63" s="367"/>
      <c r="G63" s="367"/>
      <c r="H63" s="367"/>
      <c r="I63" s="367"/>
      <c r="J63" s="367"/>
      <c r="K63" s="367"/>
      <c r="L63" s="367"/>
      <c r="M63" s="367"/>
      <c r="N63" s="367"/>
      <c r="O63" s="367"/>
      <c r="P63" s="367"/>
      <c r="Q63" s="367"/>
      <c r="R63" s="367"/>
      <c r="S63" s="367"/>
      <c r="T63" s="367"/>
      <c r="U63" s="367"/>
      <c r="V63" s="367"/>
      <c r="W63" s="367"/>
      <c r="X63" s="367"/>
      <c r="Y63" s="367"/>
      <c r="Z63" s="367"/>
      <c r="AA63" s="367"/>
      <c r="AB63" s="367"/>
      <c r="AC63" s="367"/>
      <c r="AD63" s="367"/>
      <c r="AE63" s="367"/>
      <c r="AF63" s="367"/>
      <c r="AG63" s="367"/>
      <c r="AH63" s="367"/>
      <c r="AI63" s="367"/>
      <c r="AJ63" s="367"/>
      <c r="AK63" s="367"/>
      <c r="AL63" s="367"/>
      <c r="AM63" s="367"/>
      <c r="AN63" s="367"/>
      <c r="AO63" s="367"/>
      <c r="AP63" s="367"/>
    </row>
    <row r="64" spans="1:42">
      <c r="A64" s="367"/>
      <c r="B64" s="367"/>
      <c r="C64" s="367"/>
      <c r="D64" s="367"/>
      <c r="E64" s="367"/>
      <c r="F64" s="367"/>
      <c r="G64" s="367"/>
      <c r="H64" s="367"/>
      <c r="I64" s="367"/>
      <c r="J64" s="367"/>
      <c r="K64" s="367"/>
      <c r="L64" s="367"/>
      <c r="M64" s="367"/>
      <c r="N64" s="367"/>
      <c r="O64" s="367"/>
      <c r="P64" s="367"/>
      <c r="Q64" s="367"/>
      <c r="R64" s="367"/>
      <c r="S64" s="367"/>
      <c r="T64" s="367"/>
      <c r="U64" s="367"/>
      <c r="V64" s="367"/>
      <c r="W64" s="367"/>
      <c r="X64" s="367"/>
      <c r="Y64" s="367"/>
      <c r="Z64" s="367"/>
      <c r="AA64" s="367"/>
      <c r="AB64" s="367"/>
      <c r="AC64" s="367"/>
      <c r="AD64" s="367"/>
      <c r="AE64" s="367"/>
      <c r="AF64" s="367"/>
      <c r="AG64" s="367"/>
      <c r="AH64" s="367"/>
      <c r="AI64" s="367"/>
      <c r="AJ64" s="367"/>
      <c r="AK64" s="367"/>
      <c r="AL64" s="367"/>
      <c r="AM64" s="367"/>
      <c r="AN64" s="367"/>
      <c r="AO64" s="367"/>
      <c r="AP64" s="367"/>
    </row>
    <row r="65" spans="1:42">
      <c r="A65" s="367"/>
      <c r="B65" s="367"/>
      <c r="C65" s="367"/>
      <c r="D65" s="367"/>
      <c r="E65" s="367"/>
      <c r="F65" s="367"/>
      <c r="G65" s="367"/>
      <c r="H65" s="367"/>
      <c r="I65" s="367"/>
      <c r="J65" s="367"/>
      <c r="K65" s="367"/>
      <c r="L65" s="367"/>
      <c r="M65" s="367"/>
      <c r="N65" s="367"/>
      <c r="O65" s="367"/>
      <c r="P65" s="367"/>
      <c r="Q65" s="367"/>
      <c r="R65" s="367"/>
      <c r="S65" s="367"/>
      <c r="T65" s="367"/>
      <c r="U65" s="367"/>
      <c r="V65" s="367"/>
      <c r="W65" s="367"/>
      <c r="X65" s="367"/>
      <c r="Y65" s="367"/>
      <c r="Z65" s="367"/>
      <c r="AA65" s="367"/>
      <c r="AB65" s="367"/>
      <c r="AC65" s="367"/>
      <c r="AD65" s="367"/>
      <c r="AE65" s="367"/>
      <c r="AF65" s="367"/>
      <c r="AG65" s="367"/>
      <c r="AH65" s="367"/>
      <c r="AI65" s="367"/>
      <c r="AJ65" s="367"/>
      <c r="AK65" s="367"/>
      <c r="AL65" s="367"/>
      <c r="AM65" s="367"/>
      <c r="AN65" s="367"/>
      <c r="AO65" s="367"/>
      <c r="AP65" s="367"/>
    </row>
    <row r="66" spans="1:42">
      <c r="A66" s="367"/>
      <c r="B66" s="367"/>
      <c r="C66" s="367"/>
      <c r="D66" s="367"/>
      <c r="E66" s="367"/>
      <c r="F66" s="367"/>
      <c r="G66" s="367"/>
      <c r="H66" s="367"/>
      <c r="I66" s="367"/>
      <c r="J66" s="367"/>
      <c r="K66" s="367"/>
      <c r="L66" s="367"/>
      <c r="M66" s="367"/>
      <c r="N66" s="367"/>
      <c r="O66" s="367"/>
      <c r="P66" s="367"/>
      <c r="Q66" s="367"/>
      <c r="R66" s="367"/>
      <c r="S66" s="367"/>
      <c r="T66" s="367"/>
      <c r="U66" s="367"/>
      <c r="V66" s="367"/>
      <c r="W66" s="367"/>
      <c r="X66" s="367"/>
      <c r="Y66" s="367"/>
      <c r="Z66" s="367"/>
      <c r="AA66" s="367"/>
      <c r="AB66" s="367"/>
      <c r="AC66" s="367"/>
      <c r="AD66" s="367"/>
      <c r="AE66" s="367"/>
      <c r="AF66" s="367"/>
      <c r="AG66" s="367"/>
      <c r="AH66" s="367"/>
      <c r="AI66" s="367"/>
      <c r="AJ66" s="367"/>
      <c r="AK66" s="367"/>
      <c r="AL66" s="367"/>
      <c r="AM66" s="367"/>
      <c r="AN66" s="367"/>
      <c r="AO66" s="367"/>
      <c r="AP66" s="367"/>
    </row>
    <row r="67" spans="1:42">
      <c r="A67" s="367"/>
      <c r="B67" s="367"/>
      <c r="C67" s="367"/>
      <c r="D67" s="367"/>
      <c r="E67" s="367"/>
      <c r="F67" s="367"/>
      <c r="G67" s="367"/>
      <c r="H67" s="367"/>
      <c r="I67" s="367"/>
      <c r="J67" s="367"/>
      <c r="K67" s="367"/>
      <c r="L67" s="367"/>
      <c r="M67" s="367"/>
      <c r="N67" s="367"/>
      <c r="O67" s="367"/>
      <c r="P67" s="367"/>
      <c r="Q67" s="367"/>
      <c r="R67" s="367"/>
      <c r="S67" s="367"/>
      <c r="T67" s="367"/>
      <c r="U67" s="367"/>
      <c r="V67" s="367"/>
      <c r="W67" s="367"/>
      <c r="X67" s="367"/>
      <c r="Y67" s="367"/>
      <c r="Z67" s="367"/>
      <c r="AA67" s="367"/>
      <c r="AB67" s="367"/>
      <c r="AC67" s="367"/>
      <c r="AD67" s="367"/>
      <c r="AE67" s="367"/>
      <c r="AF67" s="367"/>
      <c r="AG67" s="367"/>
      <c r="AH67" s="367"/>
      <c r="AI67" s="367"/>
      <c r="AJ67" s="367"/>
      <c r="AK67" s="367"/>
      <c r="AL67" s="367"/>
      <c r="AM67" s="367"/>
      <c r="AN67" s="367"/>
      <c r="AO67" s="367"/>
      <c r="AP67" s="367"/>
    </row>
    <row r="68" spans="1:42">
      <c r="A68" s="367"/>
      <c r="B68" s="367"/>
      <c r="C68" s="367"/>
      <c r="D68" s="367"/>
      <c r="E68" s="367"/>
      <c r="F68" s="367"/>
      <c r="G68" s="367"/>
      <c r="H68" s="367"/>
      <c r="I68" s="367"/>
      <c r="J68" s="367"/>
      <c r="K68" s="367"/>
      <c r="L68" s="367"/>
      <c r="M68" s="367"/>
      <c r="N68" s="367"/>
      <c r="O68" s="367"/>
      <c r="P68" s="367"/>
      <c r="Q68" s="367"/>
      <c r="R68" s="367"/>
      <c r="S68" s="367"/>
      <c r="T68" s="367"/>
      <c r="U68" s="367"/>
      <c r="V68" s="367"/>
      <c r="W68" s="367"/>
      <c r="X68" s="367"/>
      <c r="Y68" s="367"/>
      <c r="Z68" s="367"/>
      <c r="AA68" s="367"/>
      <c r="AB68" s="367"/>
      <c r="AC68" s="367"/>
      <c r="AD68" s="367"/>
      <c r="AE68" s="367"/>
      <c r="AF68" s="367"/>
      <c r="AG68" s="367"/>
      <c r="AH68" s="367"/>
      <c r="AI68" s="367"/>
      <c r="AJ68" s="367"/>
      <c r="AK68" s="367"/>
      <c r="AL68" s="367"/>
      <c r="AM68" s="367"/>
      <c r="AN68" s="367"/>
      <c r="AO68" s="367"/>
      <c r="AP68" s="367"/>
    </row>
    <row r="69" spans="1:42">
      <c r="A69" s="367"/>
      <c r="B69" s="367"/>
      <c r="C69" s="367"/>
      <c r="D69" s="367"/>
      <c r="E69" s="367"/>
      <c r="F69" s="367"/>
      <c r="G69" s="367"/>
      <c r="H69" s="367"/>
      <c r="I69" s="367"/>
      <c r="J69" s="367"/>
      <c r="K69" s="367"/>
      <c r="L69" s="367"/>
      <c r="M69" s="367"/>
      <c r="N69" s="367"/>
      <c r="O69" s="367"/>
      <c r="P69" s="367"/>
      <c r="Q69" s="367"/>
      <c r="R69" s="367"/>
      <c r="S69" s="367"/>
      <c r="T69" s="367"/>
      <c r="U69" s="367"/>
      <c r="V69" s="367"/>
      <c r="W69" s="367"/>
      <c r="X69" s="367"/>
      <c r="Y69" s="367"/>
      <c r="Z69" s="367"/>
      <c r="AA69" s="367"/>
      <c r="AB69" s="367"/>
      <c r="AC69" s="367"/>
      <c r="AD69" s="367"/>
      <c r="AE69" s="367"/>
      <c r="AF69" s="367"/>
      <c r="AG69" s="367"/>
      <c r="AH69" s="367"/>
      <c r="AI69" s="367"/>
      <c r="AJ69" s="367"/>
      <c r="AK69" s="367"/>
      <c r="AL69" s="367"/>
      <c r="AM69" s="367"/>
      <c r="AN69" s="367"/>
      <c r="AO69" s="367"/>
      <c r="AP69" s="367"/>
    </row>
    <row r="70" spans="1:42">
      <c r="A70" s="367"/>
      <c r="B70" s="367"/>
      <c r="C70" s="367"/>
      <c r="D70" s="367"/>
      <c r="E70" s="367"/>
      <c r="F70" s="367"/>
      <c r="G70" s="367"/>
      <c r="H70" s="367"/>
      <c r="I70" s="367"/>
      <c r="J70" s="367"/>
      <c r="K70" s="367"/>
      <c r="L70" s="367"/>
      <c r="M70" s="367"/>
      <c r="N70" s="367"/>
      <c r="O70" s="367"/>
      <c r="P70" s="367"/>
      <c r="Q70" s="367"/>
      <c r="R70" s="367"/>
      <c r="S70" s="367"/>
      <c r="T70" s="367"/>
      <c r="U70" s="367"/>
      <c r="V70" s="367"/>
      <c r="W70" s="367"/>
      <c r="X70" s="367"/>
      <c r="Y70" s="367"/>
      <c r="Z70" s="367"/>
      <c r="AA70" s="367"/>
      <c r="AB70" s="367"/>
      <c r="AC70" s="367"/>
      <c r="AD70" s="367"/>
      <c r="AE70" s="367"/>
      <c r="AF70" s="367"/>
      <c r="AG70" s="367"/>
      <c r="AH70" s="367"/>
      <c r="AI70" s="367"/>
      <c r="AJ70" s="367"/>
      <c r="AK70" s="367"/>
      <c r="AL70" s="367"/>
      <c r="AM70" s="367"/>
      <c r="AN70" s="367"/>
      <c r="AO70" s="367"/>
      <c r="AP70" s="367"/>
    </row>
    <row r="71" spans="1:42">
      <c r="A71" s="367"/>
      <c r="B71" s="367"/>
      <c r="C71" s="367"/>
      <c r="D71" s="367"/>
      <c r="E71" s="367"/>
      <c r="F71" s="367"/>
      <c r="G71" s="367"/>
      <c r="H71" s="367"/>
      <c r="I71" s="367"/>
      <c r="J71" s="367"/>
      <c r="K71" s="367"/>
      <c r="L71" s="367"/>
      <c r="M71" s="367"/>
      <c r="N71" s="367"/>
      <c r="O71" s="367"/>
      <c r="P71" s="367"/>
      <c r="Q71" s="367"/>
      <c r="R71" s="367"/>
      <c r="S71" s="367"/>
      <c r="T71" s="367"/>
      <c r="U71" s="367"/>
      <c r="V71" s="367"/>
      <c r="W71" s="367"/>
      <c r="X71" s="367"/>
      <c r="Y71" s="367"/>
      <c r="Z71" s="367"/>
      <c r="AA71" s="367"/>
      <c r="AB71" s="367"/>
      <c r="AC71" s="367"/>
      <c r="AD71" s="367"/>
      <c r="AE71" s="367"/>
      <c r="AF71" s="367"/>
      <c r="AG71" s="367"/>
      <c r="AH71" s="367"/>
      <c r="AI71" s="367"/>
      <c r="AJ71" s="367"/>
      <c r="AK71" s="367"/>
      <c r="AL71" s="367"/>
      <c r="AM71" s="367"/>
      <c r="AN71" s="367"/>
      <c r="AO71" s="367"/>
      <c r="AP71" s="367"/>
    </row>
    <row r="72" spans="1:42">
      <c r="A72" s="367"/>
      <c r="B72" s="367"/>
      <c r="C72" s="367"/>
      <c r="D72" s="367"/>
      <c r="E72" s="367"/>
      <c r="F72" s="367"/>
      <c r="G72" s="367"/>
      <c r="H72" s="367"/>
      <c r="I72" s="367"/>
      <c r="J72" s="367"/>
      <c r="K72" s="367"/>
      <c r="L72" s="367"/>
      <c r="M72" s="367"/>
      <c r="N72" s="367"/>
      <c r="O72" s="367"/>
      <c r="P72" s="367"/>
      <c r="Q72" s="367"/>
      <c r="R72" s="367"/>
      <c r="S72" s="367"/>
      <c r="T72" s="367"/>
      <c r="U72" s="367"/>
      <c r="V72" s="367"/>
      <c r="W72" s="367"/>
      <c r="X72" s="367"/>
      <c r="Y72" s="367"/>
      <c r="Z72" s="367"/>
      <c r="AA72" s="367"/>
      <c r="AB72" s="367"/>
      <c r="AC72" s="367"/>
      <c r="AD72" s="367"/>
      <c r="AE72" s="367"/>
      <c r="AF72" s="367"/>
      <c r="AG72" s="367"/>
      <c r="AH72" s="367"/>
      <c r="AI72" s="367"/>
      <c r="AJ72" s="367"/>
      <c r="AK72" s="367"/>
      <c r="AL72" s="367"/>
      <c r="AM72" s="367"/>
      <c r="AN72" s="367"/>
      <c r="AO72" s="367"/>
      <c r="AP72" s="367"/>
    </row>
    <row r="73" spans="1:42">
      <c r="A73" s="367"/>
      <c r="B73" s="367"/>
      <c r="C73" s="367"/>
      <c r="D73" s="367"/>
      <c r="E73" s="367"/>
      <c r="F73" s="367"/>
      <c r="G73" s="367"/>
      <c r="H73" s="367"/>
      <c r="I73" s="367"/>
      <c r="J73" s="367"/>
      <c r="K73" s="367"/>
      <c r="L73" s="367"/>
      <c r="M73" s="367"/>
      <c r="N73" s="367"/>
      <c r="O73" s="367"/>
      <c r="P73" s="367"/>
      <c r="Q73" s="367"/>
      <c r="R73" s="367"/>
      <c r="S73" s="367"/>
      <c r="T73" s="367"/>
      <c r="U73" s="367"/>
      <c r="V73" s="367"/>
      <c r="W73" s="367"/>
      <c r="X73" s="367"/>
      <c r="Y73" s="367"/>
      <c r="Z73" s="367"/>
      <c r="AA73" s="367"/>
      <c r="AB73" s="367"/>
      <c r="AC73" s="367"/>
      <c r="AD73" s="367"/>
      <c r="AE73" s="367"/>
      <c r="AF73" s="367"/>
      <c r="AG73" s="367"/>
      <c r="AH73" s="367"/>
      <c r="AI73" s="367"/>
      <c r="AJ73" s="367"/>
      <c r="AK73" s="367"/>
      <c r="AL73" s="367"/>
      <c r="AM73" s="367"/>
      <c r="AN73" s="367"/>
      <c r="AO73" s="367"/>
      <c r="AP73" s="367"/>
    </row>
    <row r="74" spans="1:42">
      <c r="A74" s="367"/>
      <c r="B74" s="367"/>
      <c r="C74" s="367"/>
      <c r="D74" s="367"/>
      <c r="E74" s="367"/>
      <c r="F74" s="367"/>
      <c r="G74" s="367"/>
      <c r="H74" s="367"/>
      <c r="I74" s="367"/>
      <c r="J74" s="367"/>
      <c r="K74" s="367"/>
      <c r="L74" s="367"/>
      <c r="M74" s="367"/>
      <c r="N74" s="367"/>
      <c r="O74" s="367"/>
      <c r="P74" s="367"/>
      <c r="Q74" s="367"/>
      <c r="R74" s="367"/>
      <c r="S74" s="367"/>
      <c r="T74" s="367"/>
      <c r="U74" s="367"/>
      <c r="V74" s="367"/>
      <c r="W74" s="367"/>
      <c r="X74" s="367"/>
      <c r="Y74" s="367"/>
      <c r="Z74" s="367"/>
      <c r="AA74" s="367"/>
      <c r="AB74" s="367"/>
      <c r="AC74" s="367"/>
      <c r="AD74" s="367"/>
      <c r="AE74" s="367"/>
      <c r="AF74" s="367"/>
      <c r="AG74" s="367"/>
      <c r="AH74" s="367"/>
      <c r="AI74" s="367"/>
      <c r="AJ74" s="367"/>
      <c r="AK74" s="367"/>
      <c r="AL74" s="367"/>
      <c r="AM74" s="367"/>
      <c r="AN74" s="367"/>
      <c r="AO74" s="367"/>
      <c r="AP74" s="367"/>
    </row>
    <row r="75" spans="1:42">
      <c r="A75" s="367"/>
      <c r="B75" s="367"/>
      <c r="C75" s="367"/>
      <c r="D75" s="367"/>
      <c r="E75" s="367"/>
      <c r="F75" s="367"/>
      <c r="G75" s="367"/>
      <c r="H75" s="367"/>
      <c r="I75" s="367"/>
      <c r="J75" s="367"/>
      <c r="K75" s="367"/>
      <c r="L75" s="367"/>
      <c r="M75" s="367"/>
      <c r="N75" s="367"/>
      <c r="O75" s="367"/>
      <c r="P75" s="367"/>
      <c r="Q75" s="367"/>
      <c r="R75" s="367"/>
      <c r="S75" s="367"/>
      <c r="T75" s="367"/>
      <c r="U75" s="367"/>
      <c r="V75" s="367"/>
      <c r="W75" s="367"/>
      <c r="X75" s="367"/>
      <c r="Y75" s="367"/>
      <c r="Z75" s="367"/>
      <c r="AA75" s="367"/>
      <c r="AB75" s="367"/>
      <c r="AC75" s="367"/>
      <c r="AD75" s="367"/>
      <c r="AE75" s="367"/>
      <c r="AF75" s="367"/>
      <c r="AG75" s="367"/>
      <c r="AH75" s="367"/>
      <c r="AI75" s="367"/>
      <c r="AJ75" s="367"/>
      <c r="AK75" s="367"/>
      <c r="AL75" s="367"/>
      <c r="AM75" s="367"/>
      <c r="AN75" s="367"/>
      <c r="AO75" s="367"/>
      <c r="AP75" s="367"/>
    </row>
    <row r="76" spans="1:42">
      <c r="A76" s="367"/>
      <c r="B76" s="367"/>
      <c r="C76" s="367"/>
      <c r="D76" s="367"/>
      <c r="E76" s="367"/>
      <c r="F76" s="367"/>
      <c r="G76" s="367"/>
      <c r="H76" s="367"/>
      <c r="I76" s="367"/>
      <c r="J76" s="367"/>
      <c r="K76" s="367"/>
      <c r="L76" s="367"/>
      <c r="M76" s="367"/>
      <c r="N76" s="367"/>
      <c r="O76" s="367"/>
      <c r="P76" s="367"/>
      <c r="Q76" s="367"/>
      <c r="R76" s="367"/>
      <c r="S76" s="367"/>
      <c r="T76" s="367"/>
      <c r="U76" s="367"/>
      <c r="V76" s="367"/>
      <c r="W76" s="367"/>
      <c r="X76" s="367"/>
      <c r="Y76" s="367"/>
      <c r="Z76" s="367"/>
      <c r="AA76" s="367"/>
      <c r="AB76" s="367"/>
      <c r="AC76" s="367"/>
      <c r="AD76" s="367"/>
      <c r="AE76" s="367"/>
      <c r="AF76" s="367"/>
      <c r="AG76" s="367"/>
      <c r="AH76" s="367"/>
      <c r="AI76" s="367"/>
      <c r="AJ76" s="367"/>
      <c r="AK76" s="367"/>
      <c r="AL76" s="367"/>
      <c r="AM76" s="367"/>
      <c r="AN76" s="367"/>
      <c r="AO76" s="367"/>
      <c r="AP76" s="367"/>
    </row>
    <row r="77" spans="1:42">
      <c r="A77" s="367"/>
      <c r="B77" s="367"/>
      <c r="C77" s="367"/>
      <c r="D77" s="367"/>
      <c r="E77" s="367"/>
      <c r="F77" s="367"/>
      <c r="G77" s="367"/>
      <c r="H77" s="367"/>
      <c r="I77" s="367"/>
      <c r="J77" s="367"/>
      <c r="K77" s="367"/>
      <c r="L77" s="367"/>
      <c r="M77" s="367"/>
      <c r="N77" s="367"/>
      <c r="O77" s="367"/>
      <c r="P77" s="367"/>
      <c r="Q77" s="367"/>
      <c r="R77" s="367"/>
      <c r="S77" s="367"/>
      <c r="T77" s="367"/>
      <c r="U77" s="367"/>
      <c r="V77" s="367"/>
      <c r="W77" s="367"/>
      <c r="X77" s="367"/>
      <c r="Y77" s="367"/>
      <c r="Z77" s="367"/>
      <c r="AA77" s="367"/>
      <c r="AB77" s="367"/>
      <c r="AC77" s="367"/>
      <c r="AD77" s="367"/>
      <c r="AE77" s="367"/>
      <c r="AF77" s="367"/>
      <c r="AG77" s="367"/>
      <c r="AH77" s="367"/>
      <c r="AI77" s="367"/>
      <c r="AJ77" s="367"/>
      <c r="AK77" s="367"/>
      <c r="AL77" s="367"/>
      <c r="AM77" s="367"/>
      <c r="AN77" s="367"/>
      <c r="AO77" s="367"/>
      <c r="AP77" s="367"/>
    </row>
    <row r="78" spans="1:42">
      <c r="A78" s="367"/>
      <c r="B78" s="367"/>
      <c r="C78" s="367"/>
      <c r="D78" s="367"/>
      <c r="E78" s="367"/>
      <c r="F78" s="367"/>
      <c r="G78" s="367"/>
      <c r="H78" s="367"/>
      <c r="I78" s="367"/>
      <c r="J78" s="367"/>
      <c r="K78" s="367"/>
      <c r="L78" s="367"/>
      <c r="M78" s="367"/>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row>
    <row r="79" spans="1:42">
      <c r="A79" s="367"/>
      <c r="B79" s="367"/>
      <c r="C79" s="367"/>
      <c r="D79" s="367"/>
      <c r="E79" s="367"/>
      <c r="F79" s="367"/>
      <c r="G79" s="367"/>
      <c r="H79" s="367"/>
      <c r="I79" s="367"/>
      <c r="J79" s="367"/>
      <c r="K79" s="367"/>
      <c r="L79" s="367"/>
      <c r="M79" s="367"/>
      <c r="N79" s="367"/>
      <c r="O79" s="367"/>
      <c r="P79" s="367"/>
      <c r="Q79" s="367"/>
      <c r="R79" s="367"/>
      <c r="S79" s="367"/>
      <c r="T79" s="367"/>
      <c r="U79" s="367"/>
      <c r="V79" s="367"/>
      <c r="W79" s="367"/>
      <c r="X79" s="367"/>
      <c r="Y79" s="367"/>
      <c r="Z79" s="367"/>
      <c r="AA79" s="367"/>
      <c r="AB79" s="367"/>
      <c r="AC79" s="367"/>
      <c r="AD79" s="367"/>
      <c r="AE79" s="367"/>
      <c r="AF79" s="367"/>
      <c r="AG79" s="367"/>
      <c r="AH79" s="367"/>
      <c r="AI79" s="367"/>
      <c r="AJ79" s="367"/>
      <c r="AK79" s="367"/>
      <c r="AL79" s="367"/>
      <c r="AM79" s="367"/>
      <c r="AN79" s="367"/>
      <c r="AO79" s="367"/>
      <c r="AP79" s="367"/>
    </row>
    <row r="80" spans="1:42">
      <c r="A80" s="367"/>
      <c r="B80" s="367"/>
      <c r="C80" s="367"/>
      <c r="D80" s="367"/>
      <c r="E80" s="367"/>
      <c r="F80" s="367"/>
      <c r="G80" s="367"/>
      <c r="H80" s="367"/>
      <c r="I80" s="367"/>
      <c r="J80" s="367"/>
      <c r="K80" s="367"/>
      <c r="L80" s="367"/>
      <c r="M80" s="367"/>
      <c r="N80" s="367"/>
      <c r="O80" s="367"/>
      <c r="P80" s="367"/>
      <c r="Q80" s="367"/>
      <c r="R80" s="367"/>
      <c r="S80" s="367"/>
      <c r="T80" s="367"/>
      <c r="U80" s="367"/>
      <c r="V80" s="367"/>
      <c r="W80" s="367"/>
      <c r="X80" s="367"/>
      <c r="Y80" s="367"/>
      <c r="Z80" s="367"/>
      <c r="AA80" s="367"/>
      <c r="AB80" s="367"/>
      <c r="AC80" s="367"/>
      <c r="AD80" s="367"/>
      <c r="AE80" s="367"/>
      <c r="AF80" s="367"/>
      <c r="AG80" s="367"/>
      <c r="AH80" s="367"/>
      <c r="AI80" s="367"/>
      <c r="AJ80" s="367"/>
      <c r="AK80" s="367"/>
      <c r="AL80" s="367"/>
      <c r="AM80" s="367"/>
      <c r="AN80" s="367"/>
      <c r="AO80" s="367"/>
      <c r="AP80" s="367"/>
    </row>
    <row r="81" spans="1:42">
      <c r="A81" s="367"/>
      <c r="B81" s="367"/>
      <c r="C81" s="367"/>
      <c r="D81" s="367"/>
      <c r="E81" s="367"/>
      <c r="F81" s="367"/>
      <c r="G81" s="367"/>
      <c r="H81" s="367"/>
      <c r="I81" s="367"/>
      <c r="J81" s="367"/>
      <c r="K81" s="367"/>
      <c r="L81" s="367"/>
      <c r="M81" s="367"/>
      <c r="N81" s="367"/>
      <c r="O81" s="367"/>
      <c r="P81" s="367"/>
      <c r="Q81" s="367"/>
      <c r="R81" s="367"/>
      <c r="S81" s="367"/>
      <c r="T81" s="367"/>
      <c r="U81" s="367"/>
      <c r="V81" s="367"/>
      <c r="W81" s="367"/>
      <c r="X81" s="367"/>
      <c r="Y81" s="367"/>
      <c r="Z81" s="367"/>
      <c r="AA81" s="367"/>
      <c r="AB81" s="367"/>
      <c r="AC81" s="367"/>
      <c r="AD81" s="367"/>
      <c r="AE81" s="367"/>
      <c r="AF81" s="367"/>
      <c r="AG81" s="367"/>
      <c r="AH81" s="367"/>
      <c r="AI81" s="367"/>
      <c r="AJ81" s="367"/>
      <c r="AK81" s="367"/>
      <c r="AL81" s="367"/>
      <c r="AM81" s="367"/>
      <c r="AN81" s="367"/>
      <c r="AO81" s="367"/>
      <c r="AP81" s="367"/>
    </row>
    <row r="82" spans="1:42">
      <c r="A82" s="367"/>
      <c r="B82" s="367"/>
      <c r="C82" s="367"/>
      <c r="D82" s="367"/>
      <c r="E82" s="367"/>
      <c r="F82" s="367"/>
      <c r="G82" s="367"/>
      <c r="H82" s="367"/>
      <c r="I82" s="367"/>
      <c r="J82" s="367"/>
      <c r="K82" s="367"/>
      <c r="L82" s="367"/>
      <c r="M82" s="367"/>
      <c r="N82" s="367"/>
      <c r="O82" s="367"/>
      <c r="P82" s="367"/>
      <c r="Q82" s="367"/>
      <c r="R82" s="367"/>
      <c r="S82" s="367"/>
      <c r="T82" s="367"/>
      <c r="U82" s="367"/>
      <c r="V82" s="367"/>
      <c r="W82" s="367"/>
      <c r="X82" s="367"/>
      <c r="Y82" s="367"/>
      <c r="Z82" s="367"/>
      <c r="AA82" s="367"/>
      <c r="AB82" s="367"/>
      <c r="AC82" s="367"/>
      <c r="AD82" s="367"/>
      <c r="AE82" s="367"/>
      <c r="AF82" s="367"/>
      <c r="AG82" s="367"/>
      <c r="AH82" s="367"/>
      <c r="AI82" s="367"/>
      <c r="AJ82" s="367"/>
      <c r="AK82" s="367"/>
      <c r="AL82" s="367"/>
      <c r="AM82" s="367"/>
      <c r="AN82" s="367"/>
      <c r="AO82" s="367"/>
      <c r="AP82" s="367"/>
    </row>
    <row r="83" spans="1:42">
      <c r="A83" s="367"/>
      <c r="B83" s="367"/>
      <c r="C83" s="367"/>
      <c r="D83" s="367"/>
      <c r="E83" s="367"/>
      <c r="F83" s="367"/>
      <c r="G83" s="367"/>
      <c r="H83" s="367"/>
      <c r="I83" s="367"/>
      <c r="J83" s="367"/>
      <c r="K83" s="367"/>
      <c r="L83" s="367"/>
      <c r="M83" s="367"/>
      <c r="N83" s="367"/>
      <c r="O83" s="367"/>
      <c r="P83" s="367"/>
      <c r="Q83" s="367"/>
      <c r="R83" s="367"/>
      <c r="S83" s="367"/>
      <c r="T83" s="367"/>
      <c r="U83" s="367"/>
      <c r="V83" s="367"/>
      <c r="W83" s="367"/>
      <c r="X83" s="367"/>
      <c r="Y83" s="367"/>
      <c r="Z83" s="367"/>
      <c r="AA83" s="367"/>
      <c r="AB83" s="367"/>
      <c r="AC83" s="367"/>
      <c r="AD83" s="367"/>
      <c r="AE83" s="367"/>
      <c r="AF83" s="367"/>
      <c r="AG83" s="367"/>
      <c r="AH83" s="367"/>
      <c r="AI83" s="367"/>
      <c r="AJ83" s="367"/>
      <c r="AK83" s="367"/>
      <c r="AL83" s="367"/>
      <c r="AM83" s="367"/>
      <c r="AN83" s="367"/>
      <c r="AO83" s="367"/>
      <c r="AP83" s="367"/>
    </row>
    <row r="84" spans="1:42">
      <c r="A84" s="367"/>
      <c r="B84" s="367"/>
      <c r="C84" s="367"/>
      <c r="D84" s="367"/>
      <c r="E84" s="367"/>
      <c r="F84" s="367"/>
      <c r="G84" s="367"/>
      <c r="H84" s="367"/>
      <c r="I84" s="367"/>
      <c r="J84" s="367"/>
      <c r="K84" s="367"/>
      <c r="L84" s="367"/>
      <c r="M84" s="367"/>
      <c r="N84" s="367"/>
      <c r="O84" s="367"/>
      <c r="P84" s="367"/>
      <c r="Q84" s="367"/>
      <c r="R84" s="367"/>
      <c r="S84" s="367"/>
      <c r="T84" s="367"/>
      <c r="U84" s="367"/>
      <c r="V84" s="367"/>
      <c r="W84" s="367"/>
      <c r="X84" s="367"/>
      <c r="Y84" s="367"/>
      <c r="Z84" s="367"/>
      <c r="AA84" s="367"/>
      <c r="AB84" s="367"/>
      <c r="AC84" s="367"/>
      <c r="AD84" s="367"/>
      <c r="AE84" s="367"/>
      <c r="AF84" s="367"/>
      <c r="AG84" s="367"/>
      <c r="AH84" s="367"/>
      <c r="AI84" s="367"/>
      <c r="AJ84" s="367"/>
      <c r="AK84" s="367"/>
      <c r="AL84" s="367"/>
      <c r="AM84" s="367"/>
      <c r="AN84" s="367"/>
      <c r="AO84" s="367"/>
      <c r="AP84" s="367"/>
    </row>
    <row r="85" spans="1:42">
      <c r="A85" s="367"/>
      <c r="B85" s="367"/>
      <c r="C85" s="367"/>
      <c r="D85" s="367"/>
      <c r="E85" s="367"/>
      <c r="F85" s="367"/>
      <c r="G85" s="367"/>
      <c r="H85" s="367"/>
      <c r="I85" s="367"/>
      <c r="J85" s="367"/>
      <c r="K85" s="367"/>
      <c r="L85" s="367"/>
      <c r="M85" s="367"/>
      <c r="N85" s="367"/>
      <c r="O85" s="367"/>
      <c r="P85" s="367"/>
      <c r="Q85" s="367"/>
      <c r="R85" s="367"/>
      <c r="S85" s="367"/>
      <c r="T85" s="367"/>
      <c r="U85" s="367"/>
      <c r="V85" s="367"/>
      <c r="W85" s="367"/>
      <c r="X85" s="367"/>
      <c r="Y85" s="367"/>
      <c r="Z85" s="367"/>
      <c r="AA85" s="367"/>
      <c r="AB85" s="367"/>
      <c r="AC85" s="367"/>
      <c r="AD85" s="367"/>
      <c r="AE85" s="367"/>
      <c r="AF85" s="367"/>
      <c r="AG85" s="367"/>
      <c r="AH85" s="367"/>
      <c r="AI85" s="367"/>
      <c r="AJ85" s="367"/>
      <c r="AK85" s="367"/>
      <c r="AL85" s="367"/>
      <c r="AM85" s="367"/>
      <c r="AN85" s="367"/>
      <c r="AO85" s="367"/>
      <c r="AP85" s="367"/>
    </row>
    <row r="86" spans="1:42">
      <c r="A86" s="367"/>
      <c r="B86" s="367"/>
      <c r="C86" s="367"/>
      <c r="D86" s="367"/>
      <c r="E86" s="367"/>
      <c r="F86" s="367"/>
      <c r="G86" s="367"/>
      <c r="H86" s="367"/>
      <c r="I86" s="367"/>
      <c r="J86" s="367"/>
      <c r="K86" s="367"/>
      <c r="L86" s="367"/>
      <c r="M86" s="367"/>
      <c r="N86" s="367"/>
      <c r="O86" s="367"/>
      <c r="P86" s="367"/>
      <c r="Q86" s="367"/>
      <c r="R86" s="367"/>
      <c r="S86" s="367"/>
      <c r="T86" s="367"/>
      <c r="U86" s="367"/>
      <c r="V86" s="367"/>
      <c r="W86" s="367"/>
      <c r="X86" s="367"/>
      <c r="Y86" s="367"/>
      <c r="Z86" s="367"/>
      <c r="AA86" s="367"/>
      <c r="AB86" s="367"/>
      <c r="AC86" s="367"/>
      <c r="AD86" s="367"/>
      <c r="AE86" s="367"/>
      <c r="AF86" s="367"/>
      <c r="AG86" s="367"/>
      <c r="AH86" s="367"/>
      <c r="AI86" s="367"/>
      <c r="AJ86" s="367"/>
      <c r="AK86" s="367"/>
      <c r="AL86" s="367"/>
      <c r="AM86" s="367"/>
      <c r="AN86" s="367"/>
      <c r="AO86" s="367"/>
      <c r="AP86" s="367"/>
    </row>
    <row r="87" spans="1:42">
      <c r="A87" s="367"/>
      <c r="B87" s="367"/>
      <c r="C87" s="367"/>
      <c r="D87" s="367"/>
      <c r="E87" s="367"/>
      <c r="F87" s="367"/>
      <c r="G87" s="367"/>
      <c r="H87" s="367"/>
      <c r="I87" s="367"/>
      <c r="J87" s="367"/>
      <c r="K87" s="367"/>
      <c r="L87" s="367"/>
      <c r="M87" s="367"/>
      <c r="N87" s="367"/>
      <c r="O87" s="367"/>
      <c r="P87" s="367"/>
      <c r="Q87" s="367"/>
      <c r="R87" s="367"/>
      <c r="S87" s="367"/>
      <c r="T87" s="367"/>
      <c r="U87" s="367"/>
      <c r="V87" s="367"/>
      <c r="W87" s="367"/>
      <c r="X87" s="367"/>
      <c r="Y87" s="367"/>
      <c r="Z87" s="367"/>
      <c r="AA87" s="367"/>
      <c r="AB87" s="367"/>
      <c r="AC87" s="367"/>
      <c r="AD87" s="367"/>
      <c r="AE87" s="367"/>
      <c r="AF87" s="367"/>
      <c r="AG87" s="367"/>
      <c r="AH87" s="367"/>
      <c r="AI87" s="367"/>
      <c r="AJ87" s="367"/>
      <c r="AK87" s="367"/>
      <c r="AL87" s="367"/>
      <c r="AM87" s="367"/>
      <c r="AN87" s="367"/>
      <c r="AO87" s="367"/>
      <c r="AP87" s="367"/>
    </row>
    <row r="88" spans="1:42">
      <c r="A88" s="367"/>
      <c r="B88" s="367"/>
      <c r="C88" s="367"/>
      <c r="D88" s="367"/>
      <c r="E88" s="367"/>
      <c r="F88" s="367"/>
      <c r="G88" s="367"/>
      <c r="H88" s="367"/>
      <c r="I88" s="367"/>
      <c r="J88" s="367"/>
      <c r="K88" s="367"/>
      <c r="L88" s="367"/>
      <c r="M88" s="367"/>
      <c r="N88" s="367"/>
      <c r="O88" s="367"/>
      <c r="P88" s="367"/>
      <c r="Q88" s="367"/>
      <c r="R88" s="367"/>
      <c r="S88" s="367"/>
      <c r="T88" s="367"/>
      <c r="U88" s="367"/>
      <c r="V88" s="367"/>
      <c r="W88" s="367"/>
      <c r="X88" s="367"/>
      <c r="Y88" s="367"/>
      <c r="Z88" s="367"/>
      <c r="AA88" s="367"/>
      <c r="AB88" s="367"/>
      <c r="AC88" s="367"/>
      <c r="AD88" s="367"/>
      <c r="AE88" s="367"/>
      <c r="AF88" s="367"/>
      <c r="AG88" s="367"/>
      <c r="AH88" s="367"/>
      <c r="AI88" s="367"/>
      <c r="AJ88" s="367"/>
      <c r="AK88" s="367"/>
      <c r="AL88" s="367"/>
      <c r="AM88" s="367"/>
      <c r="AN88" s="367"/>
      <c r="AO88" s="367"/>
      <c r="AP88" s="367"/>
    </row>
  </sheetData>
  <sheetProtection algorithmName="SHA-512" hashValue="SfkL7iTIZugNs5F/QucO5PHZ8MYZGdDIbT/J98Ps+fIkWRYot0kON0PhowAYOoHcBzIwYJ3TPUQy6EGU991VkQ==" saltValue="ZuMgIUd6/PBQbaagaDZrug==" spinCount="100000" sheet="1" objects="1" scenarios="1"/>
  <mergeCells count="4">
    <mergeCell ref="AJ25:AL25"/>
    <mergeCell ref="AJ26:AL26"/>
    <mergeCell ref="AJ27:AL27"/>
    <mergeCell ref="AJ28:AL28"/>
  </mergeCells>
  <pageMargins left="0.7" right="0.7" top="0.75" bottom="0.75" header="0.3" footer="0.3"/>
  <pageSetup paperSize="9" scale="48" orientation="landscape" r:id="rId1"/>
  <headerFooter>
    <oddFooter>&amp;LNova Scotia Exploration Economics Model&amp;Rwww.indeva.com</oddFooter>
  </headerFooter>
  <colBreaks count="1" manualBreakCount="1">
    <brk id="28" max="1048575"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0000"/>
    <pageSetUpPr fitToPage="1"/>
  </sheetPr>
  <dimension ref="A1:AL76"/>
  <sheetViews>
    <sheetView showGridLines="0" showRowColHeaders="0" topLeftCell="A5" zoomScale="70" zoomScaleNormal="70" workbookViewId="0">
      <selection activeCell="A5" sqref="A5"/>
    </sheetView>
  </sheetViews>
  <sheetFormatPr defaultRowHeight="15"/>
  <cols>
    <col min="1" max="1" width="28" customWidth="1"/>
    <col min="2" max="2" width="31.140625" customWidth="1"/>
    <col min="3" max="3" width="12.5703125" customWidth="1"/>
    <col min="4" max="4" width="27.28515625" customWidth="1"/>
    <col min="5" max="15" width="14.5703125" customWidth="1"/>
    <col min="17" max="17" width="11.5703125" customWidth="1"/>
    <col min="18" max="18" width="25" customWidth="1"/>
    <col min="19" max="19" width="9.85546875" bestFit="1" customWidth="1"/>
    <col min="20" max="20" width="11" bestFit="1" customWidth="1"/>
  </cols>
  <sheetData>
    <row r="1" spans="1:38" hidden="1">
      <c r="D1" s="9" t="s">
        <v>109</v>
      </c>
      <c r="E1" s="10" t="str">
        <f>Input!B11</f>
        <v>Seismic</v>
      </c>
      <c r="F1" s="9">
        <f>MATCH(E1,Stagelist,0)</f>
        <v>1</v>
      </c>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row>
    <row r="2" spans="1:38" hidden="1">
      <c r="D2" s="9" t="s">
        <v>110</v>
      </c>
      <c r="E2" s="10">
        <f>Input!B14*'Sensitivity Ranges'!F41</f>
        <v>290</v>
      </c>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row>
    <row r="3" spans="1:38" hidden="1">
      <c r="D3" s="9" t="s">
        <v>111</v>
      </c>
      <c r="E3" s="10">
        <f>Input!B27</f>
        <v>5000</v>
      </c>
      <c r="F3" s="9"/>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row>
    <row r="4" spans="1:38" hidden="1">
      <c r="D4" s="9" t="s">
        <v>72</v>
      </c>
      <c r="E4" s="10" t="str">
        <f>Input!B6</f>
        <v>Scenario 1 : Base</v>
      </c>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row>
    <row r="5" spans="1:38" ht="21">
      <c r="A5" s="265" t="str">
        <f>Input!B10</f>
        <v>Prospect X</v>
      </c>
      <c r="B5" s="266"/>
      <c r="C5" s="93" t="s">
        <v>756</v>
      </c>
      <c r="D5" s="265" t="str">
        <f>"Economic Thresholds for Different Project Maturities : EMV @ "&amp;FIXED(Input!B4*100,1)&amp;" %"</f>
        <v>Economic Thresholds for Different Project Maturities : EMV @ 10.0 %</v>
      </c>
      <c r="E5" s="14"/>
      <c r="F5" s="14"/>
      <c r="G5" s="14"/>
      <c r="H5" s="14"/>
      <c r="I5" s="14"/>
      <c r="J5" s="14"/>
      <c r="K5" s="14"/>
      <c r="L5" s="14"/>
      <c r="M5" s="14"/>
      <c r="N5" s="14"/>
      <c r="O5" s="14"/>
      <c r="P5" s="267"/>
      <c r="Q5" s="14"/>
      <c r="R5" s="14"/>
      <c r="S5" s="14"/>
      <c r="T5" s="14"/>
      <c r="U5" s="14"/>
      <c r="V5" s="14"/>
      <c r="W5" s="14"/>
      <c r="X5" s="14"/>
      <c r="Y5" s="14"/>
      <c r="Z5" s="14"/>
      <c r="AA5" s="14"/>
      <c r="AB5" s="14"/>
      <c r="AC5" s="14"/>
      <c r="AD5" s="14"/>
      <c r="AE5" s="14"/>
      <c r="AF5" s="14"/>
      <c r="AG5" s="14"/>
      <c r="AH5" s="14"/>
      <c r="AI5" s="14"/>
      <c r="AJ5" s="14"/>
      <c r="AK5" s="14"/>
      <c r="AL5" s="14"/>
    </row>
    <row r="6" spans="1:38" ht="21">
      <c r="A6" s="595" t="s">
        <v>1</v>
      </c>
      <c r="B6" s="596"/>
      <c r="C6" s="93" t="s">
        <v>139</v>
      </c>
      <c r="D6" s="265"/>
      <c r="E6" s="14"/>
      <c r="F6" s="14"/>
      <c r="G6" s="14"/>
      <c r="H6" s="14"/>
      <c r="I6" s="14"/>
      <c r="J6" s="14"/>
      <c r="K6" s="14"/>
      <c r="L6" s="14"/>
      <c r="M6" s="14"/>
      <c r="N6" s="14"/>
      <c r="O6" s="14"/>
      <c r="P6" s="267"/>
      <c r="Q6" s="14"/>
      <c r="R6" s="14"/>
      <c r="S6" s="14"/>
      <c r="T6" s="14"/>
      <c r="U6" s="14"/>
      <c r="V6" s="14"/>
      <c r="W6" s="14"/>
      <c r="X6" s="14"/>
      <c r="Y6" s="14"/>
      <c r="Z6" s="14"/>
      <c r="AA6" s="14"/>
      <c r="AB6" s="14"/>
      <c r="AC6" s="14"/>
      <c r="AD6" s="14"/>
      <c r="AE6" s="14"/>
      <c r="AF6" s="14"/>
      <c r="AG6" s="14"/>
      <c r="AH6" s="14"/>
      <c r="AI6" s="14"/>
      <c r="AJ6" s="14"/>
      <c r="AK6" s="14"/>
      <c r="AL6" s="14"/>
    </row>
    <row r="7" spans="1:38" ht="17.25" customHeight="1">
      <c r="A7" s="235" t="s">
        <v>64</v>
      </c>
      <c r="B7" s="257" t="str">
        <f>CashFlow!C3</f>
        <v>10% Nominal</v>
      </c>
      <c r="C7" s="14"/>
      <c r="D7" s="81">
        <f>ROUNDUP(J8/7/IF(J8&gt;=1000,100,10),0)*IF(J8&gt;=1000,100,10)</f>
        <v>50</v>
      </c>
      <c r="E7" s="268" t="str">
        <f>"Reserves ("&amp;IF(B24="Gas","bcf","mmbbl")&amp;")"</f>
        <v>Reserves (mmbbl)</v>
      </c>
      <c r="F7" s="268"/>
      <c r="G7" s="268"/>
      <c r="H7" s="268"/>
      <c r="I7" s="268"/>
      <c r="J7" s="268"/>
      <c r="K7" s="268"/>
      <c r="L7" s="14"/>
      <c r="M7" s="14"/>
      <c r="N7" s="14"/>
      <c r="O7" s="268"/>
      <c r="P7" s="14"/>
      <c r="Q7" s="14"/>
      <c r="R7" s="14"/>
      <c r="S7" s="14"/>
      <c r="T7" s="14"/>
      <c r="U7" s="14"/>
      <c r="V7" s="14"/>
      <c r="W7" s="14"/>
      <c r="X7" s="14"/>
      <c r="Y7" s="14"/>
      <c r="Z7" s="14"/>
      <c r="AA7" s="14"/>
      <c r="AB7" s="14"/>
      <c r="AC7" s="14"/>
      <c r="AD7" s="14"/>
      <c r="AE7" s="14"/>
      <c r="AF7" s="14"/>
      <c r="AG7" s="14"/>
      <c r="AH7" s="14"/>
      <c r="AI7" s="14"/>
      <c r="AJ7" s="14"/>
      <c r="AK7" s="14"/>
      <c r="AL7" s="14"/>
    </row>
    <row r="8" spans="1:38" ht="15.75">
      <c r="A8" s="235" t="s">
        <v>65</v>
      </c>
      <c r="B8" s="269">
        <f ca="1">Input!I14</f>
        <v>46023</v>
      </c>
      <c r="C8" s="14"/>
      <c r="D8" s="82">
        <f ca="1">Input!I32</f>
        <v>4570.9902501042889</v>
      </c>
      <c r="E8" s="270">
        <f>F8-$D$7</f>
        <v>40</v>
      </c>
      <c r="F8" s="271">
        <f>G8-$D$7</f>
        <v>90</v>
      </c>
      <c r="G8" s="271">
        <f>H8-$D$7</f>
        <v>140</v>
      </c>
      <c r="H8" s="271">
        <f>I8-$D$7</f>
        <v>190</v>
      </c>
      <c r="I8" s="271">
        <f>J8-$D$7</f>
        <v>240</v>
      </c>
      <c r="J8" s="271">
        <f>B26</f>
        <v>290</v>
      </c>
      <c r="K8" s="271">
        <f>J8+$D$7</f>
        <v>340</v>
      </c>
      <c r="L8" s="271">
        <f>K8+$D$7</f>
        <v>390</v>
      </c>
      <c r="M8" s="271">
        <f>L8+$D$7</f>
        <v>440</v>
      </c>
      <c r="N8" s="271">
        <f>M8+$D$7</f>
        <v>490</v>
      </c>
      <c r="O8" s="272">
        <f>N8+$D$7</f>
        <v>540</v>
      </c>
      <c r="P8" s="273"/>
      <c r="Q8" s="14"/>
      <c r="R8" s="14"/>
      <c r="S8" s="14"/>
      <c r="T8" s="14"/>
      <c r="U8" s="14"/>
      <c r="V8" s="14"/>
      <c r="W8" s="14"/>
      <c r="X8" s="14"/>
      <c r="Y8" s="14"/>
      <c r="Z8" s="14"/>
      <c r="AA8" s="14"/>
      <c r="AB8" s="14"/>
      <c r="AC8" s="14"/>
      <c r="AD8" s="14"/>
      <c r="AE8" s="14"/>
      <c r="AF8" s="14"/>
      <c r="AG8" s="14"/>
      <c r="AH8" s="14"/>
      <c r="AI8" s="14"/>
      <c r="AJ8" s="14"/>
      <c r="AK8" s="14"/>
      <c r="AL8" s="14"/>
    </row>
    <row r="9" spans="1:38" ht="15.75">
      <c r="A9" s="235" t="s">
        <v>72</v>
      </c>
      <c r="B9" s="274" t="str">
        <f>'Selected Economics'!D3</f>
        <v>Base</v>
      </c>
      <c r="C9" s="14"/>
      <c r="D9" s="275" t="str">
        <f>Lists!A9</f>
        <v>Seismic</v>
      </c>
      <c r="E9" s="276">
        <f t="dataTable" ref="E9:O13" dt2D="1" dtr="0" r1="E2" r2="E1" ca="1"/>
        <v>-1044.8501423902549</v>
      </c>
      <c r="F9" s="277">
        <v>659.73690149821232</v>
      </c>
      <c r="G9" s="277">
        <v>1711.298728555591</v>
      </c>
      <c r="H9" s="277">
        <v>2912.4609108913046</v>
      </c>
      <c r="I9" s="277">
        <v>3578.3357439321262</v>
      </c>
      <c r="J9" s="277">
        <v>4570.9902501042889</v>
      </c>
      <c r="K9" s="277">
        <v>5691.0170031088055</v>
      </c>
      <c r="L9" s="277">
        <v>6738.2033493722229</v>
      </c>
      <c r="M9" s="277">
        <v>7746.7557645817469</v>
      </c>
      <c r="N9" s="277">
        <v>8792.4125041111729</v>
      </c>
      <c r="O9" s="278">
        <v>10015.617367918469</v>
      </c>
      <c r="P9" s="14"/>
      <c r="Q9" s="14"/>
      <c r="R9" s="14"/>
      <c r="S9" s="14"/>
      <c r="T9" s="14"/>
      <c r="U9" s="14"/>
      <c r="V9" s="14"/>
      <c r="W9" s="14"/>
      <c r="X9" s="14"/>
      <c r="Y9" s="14"/>
      <c r="Z9" s="14"/>
      <c r="AA9" s="14"/>
      <c r="AB9" s="14"/>
      <c r="AC9" s="14"/>
      <c r="AD9" s="14"/>
      <c r="AE9" s="14"/>
      <c r="AF9" s="14"/>
      <c r="AG9" s="14"/>
      <c r="AH9" s="14"/>
      <c r="AI9" s="14"/>
      <c r="AJ9" s="14"/>
      <c r="AK9" s="14"/>
      <c r="AL9" s="14"/>
    </row>
    <row r="10" spans="1:38" ht="15.75">
      <c r="A10" s="235" t="s">
        <v>73</v>
      </c>
      <c r="B10" s="274" t="str">
        <f>'Cost Assumptions'!O4</f>
        <v>NS NRR</v>
      </c>
      <c r="C10" s="14"/>
      <c r="D10" s="275" t="str">
        <f>Lists!A10</f>
        <v>Wildcat</v>
      </c>
      <c r="E10" s="279">
        <v>-1104.4064656406499</v>
      </c>
      <c r="F10" s="280">
        <v>821.74856394399649</v>
      </c>
      <c r="G10" s="280">
        <v>2065.5258041177622</v>
      </c>
      <c r="H10" s="280">
        <v>3372.4696924295349</v>
      </c>
      <c r="I10" s="280">
        <v>4074.0283971931913</v>
      </c>
      <c r="J10" s="280">
        <v>5150.2954870095637</v>
      </c>
      <c r="K10" s="280">
        <v>6353.9526808872306</v>
      </c>
      <c r="L10" s="280">
        <v>7496.2130319526914</v>
      </c>
      <c r="M10" s="280">
        <v>8561.7178767707737</v>
      </c>
      <c r="N10" s="280">
        <v>9689.8202017057993</v>
      </c>
      <c r="O10" s="281">
        <v>10994.603361931051</v>
      </c>
      <c r="P10" s="14"/>
      <c r="Q10" s="14"/>
      <c r="R10" s="14"/>
      <c r="S10" s="14"/>
      <c r="T10" s="14"/>
      <c r="U10" s="14"/>
      <c r="V10" s="14"/>
      <c r="W10" s="14"/>
      <c r="X10" s="14"/>
      <c r="Y10" s="14"/>
      <c r="Z10" s="14"/>
      <c r="AA10" s="14"/>
      <c r="AB10" s="14"/>
      <c r="AC10" s="14"/>
      <c r="AD10" s="14"/>
      <c r="AE10" s="14"/>
      <c r="AF10" s="14"/>
      <c r="AG10" s="14"/>
      <c r="AH10" s="14"/>
      <c r="AI10" s="14"/>
      <c r="AJ10" s="14"/>
      <c r="AK10" s="14"/>
      <c r="AL10" s="14"/>
    </row>
    <row r="11" spans="1:38" ht="15.75">
      <c r="A11" s="461" t="str">
        <f>CashFlow!B7</f>
        <v>Owner Share</v>
      </c>
      <c r="B11" s="462">
        <f>CashFlow!C7</f>
        <v>1</v>
      </c>
      <c r="C11" s="14"/>
      <c r="D11" s="275" t="str">
        <f>Lists!A11</f>
        <v>Appraisal</v>
      </c>
      <c r="E11" s="279">
        <v>-1163.09555384136</v>
      </c>
      <c r="F11" s="280">
        <v>873.50735125979463</v>
      </c>
      <c r="G11" s="280">
        <v>2190.6437888654036</v>
      </c>
      <c r="H11" s="280">
        <v>3559.3483652719351</v>
      </c>
      <c r="I11" s="280">
        <v>4312.7093049447285</v>
      </c>
      <c r="J11" s="280">
        <v>5455.847166861191</v>
      </c>
      <c r="K11" s="280">
        <v>6707.96945567683</v>
      </c>
      <c r="L11" s="280">
        <v>7917.4375336981866</v>
      </c>
      <c r="M11" s="280">
        <v>9037.8767793393745</v>
      </c>
      <c r="N11" s="280">
        <v>10225.140665762912</v>
      </c>
      <c r="O11" s="281">
        <v>11614.912798922054</v>
      </c>
      <c r="P11" s="14"/>
      <c r="Q11" s="14"/>
      <c r="R11" s="14"/>
      <c r="S11" s="14"/>
      <c r="T11" s="14"/>
      <c r="U11" s="14"/>
      <c r="V11" s="14"/>
      <c r="W11" s="14"/>
      <c r="X11" s="14"/>
      <c r="Y11" s="14"/>
      <c r="Z11" s="14"/>
      <c r="AA11" s="14"/>
      <c r="AB11" s="14"/>
      <c r="AC11" s="14"/>
      <c r="AD11" s="14"/>
      <c r="AE11" s="14"/>
      <c r="AF11" s="14"/>
      <c r="AG11" s="14"/>
      <c r="AH11" s="14"/>
      <c r="AI11" s="14"/>
      <c r="AJ11" s="14"/>
      <c r="AK11" s="14"/>
      <c r="AL11" s="14"/>
    </row>
    <row r="12" spans="1:38" ht="18.75">
      <c r="A12" s="595" t="s">
        <v>74</v>
      </c>
      <c r="B12" s="596"/>
      <c r="C12" s="14"/>
      <c r="D12" s="275" t="str">
        <f>Lists!A12</f>
        <v>Development Planning</v>
      </c>
      <c r="E12" s="279">
        <v>-1039.6358526159365</v>
      </c>
      <c r="F12" s="280">
        <v>1117.0622731127023</v>
      </c>
      <c r="G12" s="280">
        <v>2610.3079612267593</v>
      </c>
      <c r="H12" s="280">
        <v>4131.9659054312633</v>
      </c>
      <c r="I12" s="280">
        <v>4952.7762611988292</v>
      </c>
      <c r="J12" s="280">
        <v>6208.026420531698</v>
      </c>
      <c r="K12" s="280">
        <v>7617.3777066203111</v>
      </c>
      <c r="L12" s="280">
        <v>8931.4543112597203</v>
      </c>
      <c r="M12" s="280">
        <v>10193.293113602169</v>
      </c>
      <c r="N12" s="280">
        <v>11500.915532423438</v>
      </c>
      <c r="O12" s="281">
        <v>13037.145882605677</v>
      </c>
      <c r="P12" s="14"/>
      <c r="Q12" s="14"/>
      <c r="R12" s="14"/>
      <c r="S12" s="14"/>
      <c r="T12" s="14"/>
      <c r="U12" s="14"/>
      <c r="V12" s="14"/>
      <c r="W12" s="14"/>
      <c r="X12" s="14"/>
      <c r="Y12" s="14"/>
      <c r="Z12" s="14"/>
      <c r="AA12" s="14"/>
      <c r="AB12" s="14"/>
      <c r="AC12" s="14"/>
      <c r="AD12" s="14"/>
      <c r="AE12" s="14"/>
      <c r="AF12" s="14"/>
      <c r="AG12" s="14"/>
      <c r="AH12" s="14"/>
      <c r="AI12" s="14"/>
      <c r="AJ12" s="14"/>
      <c r="AK12" s="14"/>
      <c r="AL12" s="14"/>
    </row>
    <row r="13" spans="1:38" ht="15.75">
      <c r="A13" s="235" t="s">
        <v>79</v>
      </c>
      <c r="B13" s="282">
        <f>Input!B12</f>
        <v>45200</v>
      </c>
      <c r="C13" s="14"/>
      <c r="D13" s="275" t="str">
        <f>Lists!A13</f>
        <v>Development Start</v>
      </c>
      <c r="E13" s="283">
        <v>3132.0454955480454</v>
      </c>
      <c r="F13" s="284">
        <v>6204.5701265037405</v>
      </c>
      <c r="G13" s="284">
        <v>8147.2451043169112</v>
      </c>
      <c r="H13" s="284">
        <v>10203.108316799677</v>
      </c>
      <c r="I13" s="284">
        <v>11207.781479683797</v>
      </c>
      <c r="J13" s="284">
        <v>13147.491817553493</v>
      </c>
      <c r="K13" s="284">
        <v>14947.443079951325</v>
      </c>
      <c r="L13" s="284">
        <v>16780.806413316841</v>
      </c>
      <c r="M13" s="284">
        <v>18788.655792479938</v>
      </c>
      <c r="N13" s="284">
        <v>20639.376560091223</v>
      </c>
      <c r="O13" s="285">
        <v>22501.676612228006</v>
      </c>
      <c r="P13" s="14"/>
      <c r="Q13" s="14"/>
      <c r="R13" s="14"/>
      <c r="S13" s="14"/>
      <c r="T13" s="14"/>
      <c r="U13" s="14"/>
      <c r="V13" s="14"/>
      <c r="W13" s="14"/>
      <c r="X13" s="14"/>
      <c r="Y13" s="14"/>
      <c r="Z13" s="14"/>
      <c r="AA13" s="14"/>
      <c r="AB13" s="14"/>
      <c r="AC13" s="14"/>
      <c r="AD13" s="14"/>
      <c r="AE13" s="14"/>
      <c r="AF13" s="14"/>
      <c r="AG13" s="14"/>
      <c r="AH13" s="14"/>
      <c r="AI13" s="14"/>
      <c r="AJ13" s="14"/>
      <c r="AK13" s="14"/>
      <c r="AL13" s="14"/>
    </row>
    <row r="14" spans="1:38" ht="15.75">
      <c r="A14" s="235" t="s">
        <v>80</v>
      </c>
      <c r="B14" s="282" t="str">
        <f>Input!B16</f>
        <v>FPSO</v>
      </c>
      <c r="C14" s="14"/>
      <c r="D14" s="286"/>
      <c r="E14" s="268"/>
      <c r="F14" s="268"/>
      <c r="G14" s="268"/>
      <c r="H14" s="268"/>
      <c r="I14" s="268"/>
      <c r="J14" s="268"/>
      <c r="K14" s="268"/>
      <c r="L14" s="268"/>
      <c r="M14" s="268"/>
      <c r="N14" s="268"/>
      <c r="O14" s="268"/>
      <c r="P14" s="14"/>
      <c r="Q14" s="14"/>
      <c r="R14" s="14"/>
      <c r="S14" s="14"/>
      <c r="T14" s="14"/>
      <c r="U14" s="14"/>
      <c r="V14" s="14"/>
      <c r="W14" s="14"/>
      <c r="X14" s="14"/>
      <c r="Y14" s="14"/>
      <c r="Z14" s="14"/>
      <c r="AA14" s="14"/>
      <c r="AB14" s="14"/>
      <c r="AC14" s="14"/>
      <c r="AD14" s="14"/>
      <c r="AE14" s="14"/>
      <c r="AF14" s="14"/>
      <c r="AG14" s="14"/>
      <c r="AH14" s="14"/>
      <c r="AI14" s="14"/>
      <c r="AJ14" s="14"/>
      <c r="AK14" s="14"/>
      <c r="AL14" s="14"/>
    </row>
    <row r="15" spans="1:38" ht="15.75">
      <c r="A15" s="235" t="s">
        <v>831</v>
      </c>
      <c r="B15" s="282" t="str">
        <f>CashFlow!C12</f>
        <v>To Infrastructure</v>
      </c>
      <c r="C15" s="81">
        <f>B28-B35</f>
        <v>2000</v>
      </c>
      <c r="D15" s="286"/>
      <c r="E15" s="268" t="s">
        <v>112</v>
      </c>
      <c r="F15" s="268"/>
      <c r="G15" s="268"/>
      <c r="H15" s="268"/>
      <c r="I15" s="268"/>
      <c r="J15" s="268"/>
      <c r="K15" s="268"/>
      <c r="L15" s="268"/>
      <c r="M15" s="268"/>
      <c r="N15" s="268"/>
      <c r="O15" s="268"/>
      <c r="P15" s="14"/>
      <c r="Q15" s="14"/>
      <c r="R15" s="14"/>
      <c r="S15" s="14"/>
      <c r="T15" s="14"/>
      <c r="U15" s="14"/>
      <c r="V15" s="14"/>
      <c r="W15" s="14"/>
      <c r="X15" s="14"/>
      <c r="Y15" s="14"/>
      <c r="Z15" s="14"/>
      <c r="AA15" s="14"/>
      <c r="AB15" s="14"/>
      <c r="AC15" s="14"/>
      <c r="AD15" s="14"/>
      <c r="AE15" s="14"/>
      <c r="AF15" s="14"/>
      <c r="AG15" s="14"/>
      <c r="AH15" s="14"/>
      <c r="AI15" s="14"/>
      <c r="AJ15" s="14"/>
      <c r="AK15" s="14"/>
      <c r="AL15" s="14"/>
    </row>
    <row r="16" spans="1:38" ht="15.75">
      <c r="A16" s="235" t="s">
        <v>830</v>
      </c>
      <c r="B16" s="287">
        <f>CashFlow!C13</f>
        <v>250</v>
      </c>
      <c r="C16" s="81">
        <f>ROUNDUP(C15/500,0)*100</f>
        <v>400</v>
      </c>
      <c r="D16" s="82">
        <f ca="1">Input!I32</f>
        <v>4570.9902501042889</v>
      </c>
      <c r="E16" s="288">
        <f>F16-$C$16</f>
        <v>3800</v>
      </c>
      <c r="F16" s="289">
        <f>G16-$C$16</f>
        <v>4200</v>
      </c>
      <c r="G16" s="289">
        <f>H16-$C$16</f>
        <v>4600</v>
      </c>
      <c r="H16" s="289">
        <f>B28</f>
        <v>5000</v>
      </c>
      <c r="I16" s="289">
        <f>H16+$C$16</f>
        <v>5400</v>
      </c>
      <c r="J16" s="289">
        <f>I16+$C$16</f>
        <v>5800</v>
      </c>
      <c r="K16" s="290">
        <f>J16+$C$16</f>
        <v>6200</v>
      </c>
      <c r="L16" s="291"/>
      <c r="M16" s="268"/>
      <c r="N16" s="268"/>
      <c r="O16" s="268"/>
      <c r="P16" s="14"/>
      <c r="Q16" s="14"/>
      <c r="R16" s="14"/>
      <c r="S16" s="14"/>
      <c r="T16" s="14"/>
      <c r="U16" s="14"/>
      <c r="V16" s="14"/>
      <c r="W16" s="14"/>
      <c r="X16" s="14"/>
      <c r="Y16" s="14"/>
      <c r="Z16" s="14"/>
      <c r="AA16" s="14"/>
      <c r="AB16" s="14"/>
      <c r="AC16" s="14"/>
      <c r="AD16" s="14"/>
      <c r="AE16" s="14"/>
      <c r="AF16" s="14"/>
      <c r="AG16" s="14"/>
      <c r="AH16" s="14"/>
      <c r="AI16" s="14"/>
      <c r="AJ16" s="14"/>
      <c r="AK16" s="14"/>
      <c r="AL16" s="14"/>
    </row>
    <row r="17" spans="1:38" ht="15.75">
      <c r="A17" s="235" t="str">
        <f>CashFlow!B14</f>
        <v>Pipeline Percent Deepwater</v>
      </c>
      <c r="B17" s="236">
        <f>CashFlow!C14</f>
        <v>0.3</v>
      </c>
      <c r="C17" s="14"/>
      <c r="D17" s="275" t="str">
        <f>D9</f>
        <v>Seismic</v>
      </c>
      <c r="E17" s="276">
        <f t="dataTable" ref="E17:K21" dt2D="1" dtr="0" r1="E3" r2="E1" ca="1"/>
        <v>4914.9788552765513</v>
      </c>
      <c r="F17" s="277">
        <v>4798.0249630925027</v>
      </c>
      <c r="G17" s="277">
        <v>4695.9913336384216</v>
      </c>
      <c r="H17" s="277">
        <v>4570.9902501042889</v>
      </c>
      <c r="I17" s="277">
        <v>4463.6472455927033</v>
      </c>
      <c r="J17" s="277">
        <v>4351.1092278394353</v>
      </c>
      <c r="K17" s="278">
        <v>4259.151563198775</v>
      </c>
      <c r="L17" s="268"/>
      <c r="M17" s="268"/>
      <c r="N17" s="268"/>
      <c r="O17" s="268"/>
      <c r="P17" s="14"/>
      <c r="Q17" s="14"/>
      <c r="R17" s="14"/>
      <c r="S17" s="14"/>
      <c r="T17" s="14"/>
      <c r="U17" s="14"/>
      <c r="V17" s="14"/>
      <c r="W17" s="14"/>
      <c r="X17" s="14"/>
      <c r="Y17" s="14"/>
      <c r="Z17" s="14"/>
      <c r="AA17" s="14"/>
      <c r="AB17" s="14"/>
      <c r="AC17" s="14"/>
      <c r="AD17" s="14"/>
      <c r="AE17" s="14"/>
      <c r="AF17" s="14"/>
      <c r="AG17" s="14"/>
      <c r="AH17" s="14"/>
      <c r="AI17" s="14"/>
      <c r="AJ17" s="14"/>
      <c r="AK17" s="14"/>
      <c r="AL17" s="14"/>
    </row>
    <row r="18" spans="1:38" ht="18.75">
      <c r="A18" s="595" t="s">
        <v>85</v>
      </c>
      <c r="B18" s="596"/>
      <c r="C18" s="14"/>
      <c r="D18" s="275" t="str">
        <f>D10</f>
        <v>Wildcat</v>
      </c>
      <c r="E18" s="279">
        <v>5451.2359822459402</v>
      </c>
      <c r="F18" s="280">
        <v>5324.3420726408349</v>
      </c>
      <c r="G18" s="280">
        <v>5247.4294803059202</v>
      </c>
      <c r="H18" s="280">
        <v>5150.2954870095637</v>
      </c>
      <c r="I18" s="280">
        <v>5057.980860435011</v>
      </c>
      <c r="J18" s="280">
        <v>4948.6617780145643</v>
      </c>
      <c r="K18" s="281">
        <v>4882.8780713047909</v>
      </c>
      <c r="L18" s="268"/>
      <c r="M18" s="268"/>
      <c r="N18" s="268"/>
      <c r="O18" s="268"/>
      <c r="P18" s="14"/>
      <c r="Q18" s="14"/>
      <c r="R18" s="14"/>
      <c r="S18" s="14"/>
      <c r="T18" s="14"/>
      <c r="U18" s="14"/>
      <c r="V18" s="14"/>
      <c r="W18" s="14"/>
      <c r="X18" s="14"/>
      <c r="Y18" s="14"/>
      <c r="Z18" s="14"/>
      <c r="AA18" s="14"/>
      <c r="AB18" s="14"/>
      <c r="AC18" s="14"/>
      <c r="AD18" s="14"/>
      <c r="AE18" s="14"/>
      <c r="AF18" s="14"/>
      <c r="AG18" s="14"/>
      <c r="AH18" s="14"/>
      <c r="AI18" s="14"/>
      <c r="AJ18" s="14"/>
      <c r="AK18" s="14"/>
      <c r="AL18" s="14"/>
    </row>
    <row r="19" spans="1:38" ht="15.75">
      <c r="A19" s="235" t="s">
        <v>78</v>
      </c>
      <c r="B19" s="257">
        <f>Input!B22</f>
        <v>1</v>
      </c>
      <c r="C19" s="14"/>
      <c r="D19" s="275" t="str">
        <f>D11</f>
        <v>Appraisal</v>
      </c>
      <c r="E19" s="279">
        <v>5723.7313205049868</v>
      </c>
      <c r="F19" s="280">
        <v>5641.9860501327148</v>
      </c>
      <c r="G19" s="280">
        <v>5530.6509705732224</v>
      </c>
      <c r="H19" s="280">
        <v>5455.847166861191</v>
      </c>
      <c r="I19" s="280">
        <v>5364.7398172467456</v>
      </c>
      <c r="J19" s="280">
        <v>5248.4387857801503</v>
      </c>
      <c r="K19" s="281">
        <v>5194.7340985757346</v>
      </c>
      <c r="L19" s="268"/>
      <c r="M19" s="268"/>
      <c r="N19" s="268"/>
      <c r="O19" s="268"/>
      <c r="P19" s="14"/>
      <c r="Q19" s="14"/>
      <c r="R19" s="14"/>
      <c r="S19" s="14"/>
      <c r="T19" s="14"/>
      <c r="U19" s="14"/>
      <c r="V19" s="14"/>
      <c r="W19" s="14"/>
      <c r="X19" s="14"/>
      <c r="Y19" s="14"/>
      <c r="Z19" s="14"/>
      <c r="AA19" s="14"/>
      <c r="AB19" s="14"/>
      <c r="AC19" s="14"/>
      <c r="AD19" s="14"/>
      <c r="AE19" s="14"/>
      <c r="AF19" s="14"/>
      <c r="AG19" s="14"/>
      <c r="AH19" s="14"/>
      <c r="AI19" s="14"/>
      <c r="AJ19" s="14"/>
      <c r="AK19" s="14"/>
      <c r="AL19" s="14"/>
    </row>
    <row r="20" spans="1:38" ht="15.75">
      <c r="A20" s="235" t="s">
        <v>86</v>
      </c>
      <c r="B20" s="257">
        <f>Input!B23</f>
        <v>1</v>
      </c>
      <c r="C20" s="14"/>
      <c r="D20" s="275" t="str">
        <f>D12</f>
        <v>Development Planning</v>
      </c>
      <c r="E20" s="279">
        <v>6433.9564894992891</v>
      </c>
      <c r="F20" s="280">
        <v>6367.195925190641</v>
      </c>
      <c r="G20" s="280">
        <v>6275.5030363015758</v>
      </c>
      <c r="H20" s="280">
        <v>6208.026420531698</v>
      </c>
      <c r="I20" s="280">
        <v>6154.364626485587</v>
      </c>
      <c r="J20" s="280">
        <v>6060.5236803051212</v>
      </c>
      <c r="K20" s="281">
        <v>5972.5246464236898</v>
      </c>
      <c r="L20" s="268"/>
      <c r="M20" s="268"/>
      <c r="N20" s="268"/>
      <c r="O20" s="268"/>
      <c r="P20" s="14"/>
      <c r="Q20" s="14"/>
      <c r="R20" s="14"/>
      <c r="S20" s="14"/>
      <c r="T20" s="14"/>
      <c r="U20" s="14"/>
      <c r="V20" s="14"/>
      <c r="W20" s="14"/>
      <c r="X20" s="14"/>
      <c r="Y20" s="14"/>
      <c r="Z20" s="14"/>
      <c r="AA20" s="14"/>
      <c r="AB20" s="14"/>
      <c r="AC20" s="14"/>
      <c r="AD20" s="14"/>
      <c r="AE20" s="14"/>
      <c r="AF20" s="14"/>
      <c r="AG20" s="14"/>
      <c r="AH20" s="14"/>
      <c r="AI20" s="14"/>
      <c r="AJ20" s="14"/>
      <c r="AK20" s="14"/>
      <c r="AL20" s="14"/>
    </row>
    <row r="21" spans="1:38" ht="15.75">
      <c r="A21" s="235" t="s">
        <v>87</v>
      </c>
      <c r="B21" s="257">
        <f>Input!B24</f>
        <v>1</v>
      </c>
      <c r="C21" s="14"/>
      <c r="D21" s="275" t="str">
        <f>D13</f>
        <v>Development Start</v>
      </c>
      <c r="E21" s="283">
        <v>13018.003017588489</v>
      </c>
      <c r="F21" s="284">
        <v>13059.082510001599</v>
      </c>
      <c r="G21" s="284">
        <v>13106.296941472281</v>
      </c>
      <c r="H21" s="284">
        <v>13147.491817553493</v>
      </c>
      <c r="I21" s="284">
        <v>13182.81944915952</v>
      </c>
      <c r="J21" s="284">
        <v>13207.177698982625</v>
      </c>
      <c r="K21" s="285">
        <v>13273.926083561721</v>
      </c>
      <c r="L21" s="268"/>
      <c r="M21" s="268"/>
      <c r="N21" s="268"/>
      <c r="O21" s="268"/>
      <c r="P21" s="14"/>
      <c r="Q21" s="14"/>
      <c r="R21" s="14"/>
      <c r="S21" s="14"/>
      <c r="T21" s="14"/>
      <c r="U21" s="14"/>
      <c r="V21" s="14"/>
      <c r="W21" s="14"/>
      <c r="X21" s="14"/>
      <c r="Y21" s="14"/>
      <c r="Z21" s="14"/>
      <c r="AA21" s="14"/>
      <c r="AB21" s="14"/>
      <c r="AC21" s="14"/>
      <c r="AD21" s="14"/>
      <c r="AE21" s="14"/>
      <c r="AF21" s="14"/>
      <c r="AG21" s="14"/>
      <c r="AH21" s="14"/>
      <c r="AI21" s="14"/>
      <c r="AJ21" s="14"/>
      <c r="AK21" s="14"/>
      <c r="AL21" s="14"/>
    </row>
    <row r="22" spans="1:38" ht="15.75">
      <c r="A22" s="235" t="s">
        <v>88</v>
      </c>
      <c r="B22" s="257">
        <f>Input!B25</f>
        <v>1</v>
      </c>
      <c r="C22" s="14"/>
      <c r="D22" s="286"/>
      <c r="E22" s="268"/>
      <c r="F22" s="268"/>
      <c r="G22" s="268"/>
      <c r="H22" s="268"/>
      <c r="I22" s="268"/>
      <c r="J22" s="268"/>
      <c r="K22" s="268"/>
      <c r="L22" s="268"/>
      <c r="M22" s="268"/>
      <c r="N22" s="268"/>
      <c r="O22" s="268"/>
      <c r="P22" s="14"/>
      <c r="Q22" s="14"/>
      <c r="R22" s="14"/>
      <c r="S22" s="14"/>
      <c r="T22" s="14"/>
      <c r="U22" s="14"/>
      <c r="V22" s="14"/>
      <c r="W22" s="14"/>
      <c r="X22" s="14"/>
      <c r="Y22" s="14"/>
      <c r="Z22" s="14"/>
      <c r="AA22" s="14"/>
      <c r="AB22" s="14"/>
      <c r="AC22" s="14"/>
      <c r="AD22" s="14"/>
      <c r="AE22" s="14"/>
      <c r="AF22" s="14"/>
      <c r="AG22" s="14"/>
      <c r="AH22" s="14"/>
      <c r="AI22" s="14"/>
      <c r="AJ22" s="14"/>
      <c r="AK22" s="14"/>
      <c r="AL22" s="14"/>
    </row>
    <row r="23" spans="1:38" ht="18.75">
      <c r="A23" s="595" t="s">
        <v>89</v>
      </c>
      <c r="B23" s="596"/>
      <c r="C23" s="14"/>
      <c r="D23" s="286"/>
      <c r="E23" s="268" t="s">
        <v>113</v>
      </c>
      <c r="F23" s="268"/>
      <c r="G23" s="268"/>
      <c r="H23" s="268"/>
      <c r="I23" s="268"/>
      <c r="J23" s="268"/>
      <c r="K23" s="268"/>
      <c r="L23" s="268"/>
      <c r="M23" s="268"/>
      <c r="N23" s="268"/>
      <c r="O23" s="268"/>
      <c r="P23" s="14"/>
      <c r="Q23" s="14"/>
      <c r="R23" s="14"/>
      <c r="S23" s="14"/>
      <c r="T23" s="14"/>
      <c r="U23" s="14"/>
      <c r="V23" s="14"/>
      <c r="W23" s="14"/>
      <c r="X23" s="14"/>
      <c r="Y23" s="14"/>
      <c r="Z23" s="14"/>
      <c r="AA23" s="14"/>
      <c r="AB23" s="14"/>
      <c r="AC23" s="14"/>
      <c r="AD23" s="14"/>
      <c r="AE23" s="14"/>
      <c r="AF23" s="14"/>
      <c r="AG23" s="14"/>
      <c r="AH23" s="14"/>
      <c r="AI23" s="14"/>
      <c r="AJ23" s="14"/>
      <c r="AK23" s="14"/>
      <c r="AL23" s="14"/>
    </row>
    <row r="24" spans="1:38" ht="15.75">
      <c r="A24" s="235" t="s">
        <v>633</v>
      </c>
      <c r="B24" s="274" t="str">
        <f>Input!B13</f>
        <v>Oil</v>
      </c>
      <c r="C24" s="14"/>
      <c r="D24" s="292"/>
      <c r="E24" s="288" t="s">
        <v>114</v>
      </c>
      <c r="F24" s="289" t="s">
        <v>1003</v>
      </c>
      <c r="G24" s="289" t="s">
        <v>937</v>
      </c>
      <c r="H24" s="289" t="s">
        <v>938</v>
      </c>
      <c r="I24" s="290" t="s">
        <v>937</v>
      </c>
      <c r="J24" s="291"/>
      <c r="K24" s="268"/>
      <c r="L24" s="268"/>
      <c r="M24" s="268"/>
      <c r="N24" s="268"/>
      <c r="O24" s="268"/>
      <c r="P24" s="14"/>
      <c r="Q24" s="14"/>
      <c r="R24" s="14"/>
      <c r="S24" s="14"/>
      <c r="T24" s="14"/>
      <c r="U24" s="14"/>
      <c r="V24" s="14"/>
      <c r="W24" s="14"/>
      <c r="X24" s="14"/>
      <c r="Y24" s="14"/>
      <c r="Z24" s="14"/>
      <c r="AA24" s="14"/>
      <c r="AB24" s="14"/>
      <c r="AC24" s="14"/>
      <c r="AD24" s="14"/>
      <c r="AE24" s="14"/>
      <c r="AF24" s="14"/>
      <c r="AG24" s="14"/>
      <c r="AH24" s="14"/>
      <c r="AI24" s="14"/>
      <c r="AJ24" s="14"/>
      <c r="AK24" s="14"/>
      <c r="AL24" s="14"/>
    </row>
    <row r="25" spans="1:38" ht="13.9" hidden="1" customHeight="1">
      <c r="C25" s="14"/>
      <c r="D25" s="293">
        <f ca="1">Input!I32</f>
        <v>4570.9902501042889</v>
      </c>
      <c r="E25" s="268" t="str">
        <f>INDEX(selected_scenario,Lists!E202,MATCH(Thresholds!E24,scenarios,0))</f>
        <v>Scenario 1 : Base</v>
      </c>
      <c r="F25" s="268" t="str">
        <f>INDEX(selected_scenario,Lists!F202,MATCH(Thresholds!F24,scenarios,0))</f>
        <v>Scenario 2 : High Inflation</v>
      </c>
      <c r="G25" s="268" t="str">
        <f>INDEX(selected_scenario,Lists!G202,MATCH(Thresholds!G24,scenarios,0))</f>
        <v>Scenario 3 : Base + 3%/y</v>
      </c>
      <c r="H25" s="268" t="str">
        <f>INDEX(selected_scenario,Lists!H202,MATCH(Thresholds!H24,scenarios,0))</f>
        <v>Scenario 4 : Base - 1.5%/y</v>
      </c>
      <c r="I25" s="268" t="str">
        <f>INDEX(selected_scenario,Lists!I202,MATCH(Thresholds!I24,scenarios,0))</f>
        <v>Scenario 3 : Base + 3%/y</v>
      </c>
      <c r="J25" s="268"/>
      <c r="K25" s="268"/>
      <c r="L25" s="268"/>
      <c r="M25" s="268"/>
      <c r="N25" s="268"/>
      <c r="O25" s="268"/>
      <c r="P25" s="14"/>
      <c r="Q25" s="14"/>
      <c r="R25" s="14"/>
      <c r="S25" s="14"/>
      <c r="T25" s="14"/>
      <c r="U25" s="14"/>
      <c r="V25" s="14"/>
      <c r="W25" s="14"/>
      <c r="X25" s="14"/>
      <c r="Y25" s="14"/>
      <c r="Z25" s="14"/>
      <c r="AA25" s="14"/>
      <c r="AB25" s="14"/>
      <c r="AC25" s="14"/>
      <c r="AD25" s="14"/>
      <c r="AE25" s="14"/>
      <c r="AF25" s="14"/>
      <c r="AG25" s="14"/>
      <c r="AH25" s="14"/>
      <c r="AI25" s="14"/>
      <c r="AJ25" s="14"/>
      <c r="AK25" s="14"/>
      <c r="AL25" s="14"/>
    </row>
    <row r="26" spans="1:38" ht="15.75">
      <c r="A26" s="235" t="str">
        <f>Input!A14</f>
        <v>Mean Reserves (mmbbl)</v>
      </c>
      <c r="B26" s="274">
        <f>Input!B14</f>
        <v>290</v>
      </c>
      <c r="C26" s="14"/>
      <c r="D26" s="294" t="str">
        <f>D17</f>
        <v>Seismic</v>
      </c>
      <c r="E26" s="276">
        <f t="dataTable" ref="E26:I30" dt2D="1" dtr="0" r1="E4" r2="E1" ca="1"/>
        <v>4570.9902501042889</v>
      </c>
      <c r="F26" s="277">
        <v>4330.5040848106328</v>
      </c>
      <c r="G26" s="277">
        <v>7799.9981485259013</v>
      </c>
      <c r="H26" s="277">
        <v>3596.8762793005462</v>
      </c>
      <c r="I26" s="278">
        <v>7799.9981485259013</v>
      </c>
      <c r="J26" s="268"/>
      <c r="K26" s="268"/>
      <c r="L26" s="268"/>
      <c r="M26" s="268"/>
      <c r="N26" s="268"/>
      <c r="O26" s="268"/>
      <c r="P26" s="14"/>
      <c r="Q26" s="14"/>
      <c r="R26" s="14"/>
      <c r="S26" s="14"/>
      <c r="T26" s="14"/>
      <c r="U26" s="14"/>
      <c r="V26" s="14"/>
      <c r="W26" s="14"/>
      <c r="X26" s="14"/>
      <c r="Y26" s="14"/>
      <c r="Z26" s="14"/>
      <c r="AA26" s="14"/>
      <c r="AB26" s="14"/>
      <c r="AC26" s="14"/>
      <c r="AD26" s="14"/>
      <c r="AE26" s="14"/>
      <c r="AF26" s="14"/>
      <c r="AG26" s="14"/>
      <c r="AH26" s="14"/>
      <c r="AI26" s="14"/>
      <c r="AJ26" s="14"/>
      <c r="AK26" s="14"/>
      <c r="AL26" s="14"/>
    </row>
    <row r="27" spans="1:38" ht="15.75">
      <c r="A27" s="235" t="s">
        <v>90</v>
      </c>
      <c r="B27" s="274">
        <f>Input!B27</f>
        <v>5000</v>
      </c>
      <c r="C27" s="14"/>
      <c r="D27" s="294" t="str">
        <f>D18</f>
        <v>Wildcat</v>
      </c>
      <c r="E27" s="279">
        <v>5150.2954870095637</v>
      </c>
      <c r="F27" s="280">
        <v>4911.7898956524514</v>
      </c>
      <c r="G27" s="280">
        <v>8273.4077731992293</v>
      </c>
      <c r="H27" s="280">
        <v>4168.3982773223252</v>
      </c>
      <c r="I27" s="281">
        <v>8273.4077731992293</v>
      </c>
      <c r="J27" s="268"/>
      <c r="K27" s="268"/>
      <c r="L27" s="268"/>
      <c r="M27" s="268"/>
      <c r="N27" s="268"/>
      <c r="O27" s="268"/>
      <c r="P27" s="14"/>
      <c r="Q27" s="14"/>
      <c r="R27" s="14"/>
      <c r="S27" s="14"/>
      <c r="T27" s="14"/>
      <c r="U27" s="14"/>
      <c r="V27" s="14"/>
      <c r="W27" s="14"/>
      <c r="X27" s="14"/>
      <c r="Y27" s="14"/>
      <c r="Z27" s="14"/>
      <c r="AA27" s="14"/>
      <c r="AB27" s="14"/>
      <c r="AC27" s="14"/>
      <c r="AD27" s="14"/>
      <c r="AE27" s="14"/>
      <c r="AF27" s="14"/>
      <c r="AG27" s="14"/>
      <c r="AH27" s="14"/>
      <c r="AI27" s="14"/>
      <c r="AJ27" s="14"/>
      <c r="AK27" s="14"/>
      <c r="AL27" s="14"/>
    </row>
    <row r="28" spans="1:38" ht="15.75">
      <c r="A28" s="235" t="str">
        <f>CashFlow!B23</f>
        <v>Reservoir Depth (m MSL)</v>
      </c>
      <c r="B28" s="274">
        <f>CashFlow!C23</f>
        <v>5000</v>
      </c>
      <c r="C28" s="14"/>
      <c r="D28" s="294" t="str">
        <f>D19</f>
        <v>Appraisal</v>
      </c>
      <c r="E28" s="279">
        <v>5455.847166861191</v>
      </c>
      <c r="F28" s="280">
        <v>5216.7812565260938</v>
      </c>
      <c r="G28" s="280">
        <v>8521.033027626454</v>
      </c>
      <c r="H28" s="280">
        <v>4460.8169736740583</v>
      </c>
      <c r="I28" s="281">
        <v>8521.033027626454</v>
      </c>
      <c r="J28" s="268"/>
      <c r="K28" s="268"/>
      <c r="L28" s="268"/>
      <c r="M28" s="268"/>
      <c r="N28" s="268"/>
      <c r="O28" s="268"/>
      <c r="P28" s="14"/>
      <c r="Q28" s="14"/>
      <c r="R28" s="14"/>
      <c r="S28" s="14"/>
      <c r="T28" s="14"/>
      <c r="U28" s="14"/>
      <c r="V28" s="14"/>
      <c r="W28" s="14"/>
      <c r="X28" s="14"/>
      <c r="Y28" s="14"/>
      <c r="Z28" s="14"/>
      <c r="AA28" s="14"/>
      <c r="AB28" s="14"/>
      <c r="AC28" s="14"/>
      <c r="AD28" s="14"/>
      <c r="AE28" s="14"/>
      <c r="AF28" s="14"/>
      <c r="AG28" s="14"/>
      <c r="AH28" s="14"/>
      <c r="AI28" s="14"/>
      <c r="AJ28" s="14"/>
      <c r="AK28" s="14"/>
      <c r="AL28" s="14"/>
    </row>
    <row r="29" spans="1:38" ht="15.75">
      <c r="A29" s="235" t="s">
        <v>91</v>
      </c>
      <c r="B29" s="274" t="str">
        <f>Input!B28</f>
        <v>Low</v>
      </c>
      <c r="C29" s="14"/>
      <c r="D29" s="294" t="str">
        <f>D20</f>
        <v>Development Planning</v>
      </c>
      <c r="E29" s="279">
        <v>6208.026420531698</v>
      </c>
      <c r="F29" s="280">
        <v>6026.4893035719306</v>
      </c>
      <c r="G29" s="280">
        <v>9064.7732056692512</v>
      </c>
      <c r="H29" s="280">
        <v>5268.2382924563171</v>
      </c>
      <c r="I29" s="281">
        <v>9064.7732056692512</v>
      </c>
      <c r="J29" s="268"/>
      <c r="K29" s="268"/>
      <c r="L29" s="268"/>
      <c r="M29" s="268"/>
      <c r="N29" s="268"/>
      <c r="O29" s="268"/>
      <c r="P29" s="14"/>
      <c r="Q29" s="14"/>
      <c r="R29" s="14"/>
      <c r="S29" s="14"/>
      <c r="T29" s="14"/>
      <c r="U29" s="14"/>
      <c r="V29" s="14"/>
      <c r="W29" s="14"/>
      <c r="X29" s="14"/>
      <c r="Y29" s="14"/>
      <c r="Z29" s="14"/>
      <c r="AA29" s="14"/>
      <c r="AB29" s="14"/>
      <c r="AC29" s="14"/>
      <c r="AD29" s="14"/>
      <c r="AE29" s="14"/>
      <c r="AF29" s="14"/>
      <c r="AG29" s="14"/>
      <c r="AH29" s="14"/>
      <c r="AI29" s="14"/>
      <c r="AJ29" s="14"/>
      <c r="AK29" s="14"/>
      <c r="AL29" s="14"/>
    </row>
    <row r="30" spans="1:38" ht="15.75">
      <c r="A30" s="235" t="s">
        <v>93</v>
      </c>
      <c r="B30" s="274" t="str">
        <f>Input!B29</f>
        <v>Medium</v>
      </c>
      <c r="C30" s="14"/>
      <c r="D30" s="294" t="str">
        <f>D21</f>
        <v>Development Start</v>
      </c>
      <c r="E30" s="283">
        <v>13147.491817553493</v>
      </c>
      <c r="F30" s="284">
        <v>13096.851679518963</v>
      </c>
      <c r="G30" s="284">
        <v>15560.524584556924</v>
      </c>
      <c r="H30" s="284">
        <v>12212.585346690255</v>
      </c>
      <c r="I30" s="285">
        <v>15560.524584556924</v>
      </c>
      <c r="J30" s="268"/>
      <c r="K30" s="268"/>
      <c r="L30" s="268"/>
      <c r="M30" s="268"/>
      <c r="N30" s="268"/>
      <c r="O30" s="268"/>
      <c r="P30" s="14"/>
      <c r="Q30" s="14"/>
      <c r="R30" s="14"/>
      <c r="S30" s="14"/>
      <c r="T30" s="14"/>
      <c r="U30" s="14"/>
      <c r="V30" s="14"/>
      <c r="W30" s="14"/>
      <c r="X30" s="14"/>
      <c r="Y30" s="14"/>
      <c r="Z30" s="14"/>
      <c r="AA30" s="14"/>
      <c r="AB30" s="14"/>
      <c r="AC30" s="14"/>
      <c r="AD30" s="14"/>
      <c r="AE30" s="14"/>
      <c r="AF30" s="14"/>
      <c r="AG30" s="14"/>
      <c r="AH30" s="14"/>
      <c r="AI30" s="14"/>
      <c r="AJ30" s="14"/>
      <c r="AK30" s="14"/>
      <c r="AL30" s="14"/>
    </row>
    <row r="31" spans="1:38" ht="16.5" thickBot="1">
      <c r="A31" s="235" t="s">
        <v>94</v>
      </c>
      <c r="B31" s="274" t="str">
        <f>Input!B30</f>
        <v>Normally Pressured</v>
      </c>
      <c r="C31" s="14"/>
      <c r="D31" s="268"/>
      <c r="E31" s="268"/>
      <c r="F31" s="268"/>
      <c r="G31" s="268"/>
      <c r="H31" s="268"/>
      <c r="I31" s="268"/>
      <c r="J31" s="268"/>
      <c r="K31" s="268"/>
      <c r="L31" s="268"/>
      <c r="M31" s="268"/>
      <c r="N31" s="268"/>
      <c r="O31" s="268"/>
      <c r="P31" s="14"/>
      <c r="Q31" s="14"/>
      <c r="R31" s="14"/>
      <c r="S31" s="14"/>
      <c r="T31" s="14"/>
      <c r="U31" s="14"/>
      <c r="V31" s="14"/>
      <c r="W31" s="14"/>
      <c r="X31" s="14"/>
      <c r="Y31" s="14"/>
      <c r="Z31" s="14"/>
      <c r="AA31" s="14"/>
      <c r="AB31" s="14"/>
      <c r="AC31" s="14"/>
      <c r="AD31" s="14"/>
      <c r="AE31" s="14"/>
      <c r="AF31" s="14"/>
      <c r="AG31" s="14"/>
      <c r="AH31" s="14"/>
      <c r="AI31" s="14"/>
      <c r="AJ31" s="14"/>
      <c r="AK31" s="14"/>
      <c r="AL31" s="14"/>
    </row>
    <row r="32" spans="1:38" ht="18.75">
      <c r="A32" s="235" t="s">
        <v>96</v>
      </c>
      <c r="B32" s="274">
        <f>Input!B31</f>
        <v>1040</v>
      </c>
      <c r="C32" s="14"/>
      <c r="D32" s="295" t="s">
        <v>771</v>
      </c>
      <c r="E32" s="296"/>
      <c r="F32" s="296"/>
      <c r="G32" s="296"/>
      <c r="H32" s="296"/>
      <c r="I32" s="296"/>
      <c r="J32" s="296"/>
      <c r="K32" s="297"/>
      <c r="L32" s="268"/>
      <c r="M32" s="268"/>
      <c r="N32" s="268"/>
      <c r="O32" s="268"/>
      <c r="P32" s="14"/>
      <c r="Q32" s="14"/>
      <c r="R32" s="14"/>
      <c r="S32" s="14"/>
      <c r="T32" s="14"/>
      <c r="U32" s="14"/>
      <c r="V32" s="14"/>
      <c r="W32" s="14"/>
      <c r="X32" s="14"/>
      <c r="Y32" s="14"/>
      <c r="Z32" s="14"/>
      <c r="AA32" s="14"/>
      <c r="AB32" s="14"/>
      <c r="AC32" s="14"/>
      <c r="AD32" s="14"/>
      <c r="AE32" s="14"/>
      <c r="AF32" s="14"/>
      <c r="AG32" s="14"/>
      <c r="AH32" s="14"/>
      <c r="AI32" s="14"/>
      <c r="AJ32" s="14"/>
      <c r="AK32" s="14"/>
      <c r="AL32" s="14"/>
    </row>
    <row r="33" spans="1:38" ht="16.5" customHeight="1">
      <c r="A33" s="235" t="s">
        <v>97</v>
      </c>
      <c r="B33" s="274">
        <f>Input!B32</f>
        <v>3333.3</v>
      </c>
      <c r="C33" s="14"/>
      <c r="D33" s="601" t="s">
        <v>1105</v>
      </c>
      <c r="E33" s="602"/>
      <c r="F33" s="602"/>
      <c r="G33" s="602"/>
      <c r="H33" s="602"/>
      <c r="I33" s="602"/>
      <c r="J33" s="602"/>
      <c r="K33" s="603"/>
      <c r="L33" s="268"/>
      <c r="M33" s="268"/>
      <c r="N33" s="268"/>
      <c r="O33" s="268"/>
      <c r="P33" s="14"/>
      <c r="Q33" s="14"/>
      <c r="R33" s="14"/>
      <c r="S33" s="14"/>
      <c r="T33" s="14"/>
      <c r="U33" s="14"/>
      <c r="V33" s="14"/>
      <c r="W33" s="14"/>
      <c r="X33" s="14"/>
      <c r="Y33" s="14"/>
      <c r="Z33" s="14"/>
      <c r="AA33" s="14"/>
      <c r="AB33" s="14"/>
      <c r="AC33" s="14"/>
      <c r="AD33" s="14"/>
      <c r="AE33" s="14"/>
      <c r="AF33" s="14"/>
      <c r="AG33" s="14"/>
      <c r="AH33" s="14"/>
      <c r="AI33" s="14"/>
      <c r="AJ33" s="14"/>
      <c r="AK33" s="14"/>
      <c r="AL33" s="14"/>
    </row>
    <row r="34" spans="1:38" ht="15.75" customHeight="1">
      <c r="A34" s="235" t="s">
        <v>98</v>
      </c>
      <c r="B34" s="274" t="str">
        <f>Input!B33</f>
        <v>Sweet</v>
      </c>
      <c r="C34" s="14"/>
      <c r="D34" s="601"/>
      <c r="E34" s="602"/>
      <c r="F34" s="602"/>
      <c r="G34" s="602"/>
      <c r="H34" s="602"/>
      <c r="I34" s="602"/>
      <c r="J34" s="602"/>
      <c r="K34" s="603"/>
      <c r="L34" s="268"/>
      <c r="M34" s="268"/>
      <c r="N34" s="268"/>
      <c r="O34" s="268"/>
      <c r="P34" s="14"/>
      <c r="Q34" s="14"/>
      <c r="R34" s="14"/>
      <c r="S34" s="14"/>
      <c r="T34" s="14"/>
      <c r="U34" s="14"/>
      <c r="V34" s="14"/>
      <c r="W34" s="14"/>
      <c r="X34" s="14"/>
      <c r="Y34" s="14"/>
      <c r="Z34" s="14"/>
      <c r="AA34" s="14"/>
      <c r="AB34" s="14"/>
      <c r="AC34" s="14"/>
      <c r="AD34" s="14"/>
      <c r="AE34" s="14"/>
      <c r="AF34" s="14"/>
      <c r="AG34" s="14"/>
      <c r="AH34" s="14"/>
      <c r="AI34" s="14"/>
      <c r="AJ34" s="14"/>
      <c r="AK34" s="14"/>
      <c r="AL34" s="14"/>
    </row>
    <row r="35" spans="1:38" ht="15.75" customHeight="1">
      <c r="A35" s="235" t="s">
        <v>100</v>
      </c>
      <c r="B35" s="274">
        <f>Input!B15</f>
        <v>3000</v>
      </c>
      <c r="C35" s="14"/>
      <c r="D35" s="601"/>
      <c r="E35" s="602"/>
      <c r="F35" s="602"/>
      <c r="G35" s="602"/>
      <c r="H35" s="602"/>
      <c r="I35" s="602"/>
      <c r="J35" s="602"/>
      <c r="K35" s="603"/>
      <c r="L35" s="268"/>
      <c r="M35" s="268"/>
      <c r="N35" s="268"/>
      <c r="O35" s="268"/>
      <c r="P35" s="14"/>
      <c r="Q35" s="14"/>
      <c r="R35" s="14"/>
      <c r="S35" s="14"/>
      <c r="T35" s="14"/>
      <c r="U35" s="14"/>
      <c r="V35" s="14"/>
      <c r="W35" s="14"/>
      <c r="X35" s="14"/>
      <c r="Y35" s="14"/>
      <c r="Z35" s="14"/>
      <c r="AA35" s="14"/>
      <c r="AB35" s="14"/>
      <c r="AC35" s="14"/>
      <c r="AD35" s="14"/>
      <c r="AE35" s="14"/>
      <c r="AF35" s="14"/>
      <c r="AG35" s="14"/>
      <c r="AH35" s="14"/>
      <c r="AI35" s="14"/>
      <c r="AJ35" s="14"/>
      <c r="AK35" s="14"/>
      <c r="AL35" s="14"/>
    </row>
    <row r="36" spans="1:38" ht="15.75" customHeight="1">
      <c r="A36" s="595" t="s">
        <v>102</v>
      </c>
      <c r="B36" s="596"/>
      <c r="C36" s="14"/>
      <c r="D36" s="601"/>
      <c r="E36" s="602"/>
      <c r="F36" s="602"/>
      <c r="G36" s="602"/>
      <c r="H36" s="602"/>
      <c r="I36" s="602"/>
      <c r="J36" s="602"/>
      <c r="K36" s="603"/>
      <c r="L36" s="268"/>
      <c r="M36" s="268"/>
      <c r="N36" s="268"/>
      <c r="O36" s="268"/>
      <c r="P36" s="14"/>
      <c r="Q36" s="14"/>
      <c r="R36" s="14"/>
      <c r="S36" s="14"/>
      <c r="T36" s="14"/>
      <c r="U36" s="14"/>
      <c r="V36" s="14"/>
      <c r="W36" s="14"/>
      <c r="X36" s="14"/>
      <c r="Y36" s="14"/>
      <c r="Z36" s="14"/>
      <c r="AA36" s="14"/>
      <c r="AB36" s="14"/>
      <c r="AC36" s="14"/>
      <c r="AD36" s="14"/>
      <c r="AE36" s="14"/>
      <c r="AF36" s="14"/>
      <c r="AG36" s="14"/>
      <c r="AH36" s="14"/>
      <c r="AI36" s="14"/>
      <c r="AJ36" s="14"/>
      <c r="AK36" s="14"/>
      <c r="AL36" s="14"/>
    </row>
    <row r="37" spans="1:38" ht="15.75" customHeight="1">
      <c r="A37" s="235" t="s">
        <v>103</v>
      </c>
      <c r="B37" s="274" t="str">
        <f>Input!B36</f>
        <v>No</v>
      </c>
      <c r="C37" s="14"/>
      <c r="D37" s="601"/>
      <c r="E37" s="602"/>
      <c r="F37" s="602"/>
      <c r="G37" s="602"/>
      <c r="H37" s="602"/>
      <c r="I37" s="602"/>
      <c r="J37" s="602"/>
      <c r="K37" s="603"/>
      <c r="L37" s="268"/>
      <c r="M37" s="268"/>
      <c r="N37" s="268"/>
      <c r="O37" s="268"/>
      <c r="P37" s="14"/>
      <c r="Q37" s="14"/>
      <c r="R37" s="14"/>
      <c r="S37" s="14"/>
      <c r="T37" s="14"/>
      <c r="U37" s="14"/>
      <c r="V37" s="14"/>
      <c r="W37" s="14"/>
      <c r="X37" s="14"/>
      <c r="Y37" s="14"/>
      <c r="Z37" s="14"/>
      <c r="AA37" s="14"/>
      <c r="AB37" s="14"/>
      <c r="AC37" s="14"/>
      <c r="AD37" s="14"/>
      <c r="AE37" s="14"/>
      <c r="AF37" s="14"/>
      <c r="AG37" s="14"/>
      <c r="AH37" s="14"/>
      <c r="AI37" s="14"/>
      <c r="AJ37" s="14"/>
      <c r="AK37" s="14"/>
      <c r="AL37" s="14"/>
    </row>
    <row r="38" spans="1:38" ht="15.75" customHeight="1" thickBot="1">
      <c r="A38" s="235" t="s">
        <v>105</v>
      </c>
      <c r="B38" s="274" t="str">
        <f>Input!B37</f>
        <v>No</v>
      </c>
      <c r="C38" s="14"/>
      <c r="D38" s="604"/>
      <c r="E38" s="605"/>
      <c r="F38" s="605"/>
      <c r="G38" s="605"/>
      <c r="H38" s="605"/>
      <c r="I38" s="605"/>
      <c r="J38" s="605"/>
      <c r="K38" s="606"/>
      <c r="L38" s="268"/>
      <c r="M38" s="268"/>
      <c r="N38" s="268"/>
      <c r="O38" s="268"/>
      <c r="P38" s="14"/>
      <c r="Q38" s="14"/>
      <c r="R38" s="14"/>
      <c r="S38" s="14"/>
      <c r="T38" s="14"/>
      <c r="U38" s="14"/>
      <c r="V38" s="14"/>
      <c r="W38" s="14"/>
      <c r="X38" s="14"/>
      <c r="Y38" s="14"/>
      <c r="Z38" s="14"/>
      <c r="AA38" s="14"/>
      <c r="AB38" s="14"/>
      <c r="AC38" s="14"/>
      <c r="AD38" s="14"/>
      <c r="AE38" s="14"/>
      <c r="AF38" s="14"/>
      <c r="AG38" s="14"/>
      <c r="AH38" s="14"/>
      <c r="AI38" s="14"/>
      <c r="AJ38" s="14"/>
      <c r="AK38" s="14"/>
      <c r="AL38" s="14"/>
    </row>
    <row r="39" spans="1:38" ht="15.75" customHeight="1" thickBot="1">
      <c r="A39" s="235" t="s">
        <v>108</v>
      </c>
      <c r="B39" s="274" t="str">
        <f>Input!B38</f>
        <v>No</v>
      </c>
      <c r="C39" s="14"/>
      <c r="D39" s="434" t="s">
        <v>1039</v>
      </c>
      <c r="E39" s="435"/>
      <c r="F39" s="435"/>
      <c r="G39" s="435"/>
      <c r="H39" s="435"/>
      <c r="I39" s="435"/>
      <c r="J39" s="435"/>
      <c r="K39" s="436"/>
      <c r="L39" s="268"/>
      <c r="M39" s="268"/>
      <c r="N39" s="268"/>
      <c r="O39" s="268"/>
      <c r="P39" s="14"/>
      <c r="Q39" s="14"/>
      <c r="R39" s="14"/>
      <c r="S39" s="14"/>
      <c r="T39" s="14"/>
      <c r="U39" s="14"/>
      <c r="V39" s="14"/>
      <c r="W39" s="14"/>
      <c r="X39" s="14"/>
      <c r="Y39" s="14"/>
      <c r="Z39" s="14"/>
      <c r="AA39" s="14"/>
      <c r="AB39" s="14"/>
      <c r="AC39" s="14"/>
      <c r="AD39" s="14"/>
      <c r="AE39" s="14"/>
      <c r="AF39" s="14"/>
      <c r="AG39" s="14"/>
      <c r="AH39" s="14"/>
      <c r="AI39" s="14"/>
      <c r="AJ39" s="14"/>
      <c r="AK39" s="14"/>
      <c r="AL39" s="14"/>
    </row>
    <row r="40" spans="1:38" ht="18.75">
      <c r="A40" s="595" t="str">
        <f>CashFlow!B35</f>
        <v/>
      </c>
      <c r="B40" s="596"/>
      <c r="C40" s="14"/>
      <c r="D40" s="268"/>
      <c r="E40" s="268"/>
      <c r="F40" s="268"/>
      <c r="G40" s="268"/>
      <c r="H40" s="268"/>
      <c r="I40" s="268"/>
      <c r="J40" s="268"/>
      <c r="K40" s="268"/>
      <c r="L40" s="268"/>
      <c r="M40" s="268"/>
      <c r="N40" s="268"/>
      <c r="O40" s="268"/>
      <c r="P40" s="14"/>
      <c r="Q40" s="14"/>
      <c r="R40" s="14"/>
      <c r="S40" s="14"/>
      <c r="T40" s="14"/>
      <c r="U40" s="14"/>
      <c r="V40" s="14"/>
      <c r="W40" s="14"/>
      <c r="X40" s="14"/>
      <c r="Y40" s="14"/>
      <c r="Z40" s="14"/>
      <c r="AA40" s="14"/>
      <c r="AB40" s="14"/>
      <c r="AC40" s="14"/>
      <c r="AD40" s="14"/>
      <c r="AE40" s="14"/>
      <c r="AF40" s="14"/>
      <c r="AG40" s="14"/>
      <c r="AH40" s="14"/>
      <c r="AI40" s="14"/>
      <c r="AJ40" s="14"/>
      <c r="AK40" s="14"/>
      <c r="AL40" s="14"/>
    </row>
    <row r="41" spans="1:38" ht="15.75">
      <c r="A41" s="220" t="str">
        <f>Lists!S46</f>
        <v/>
      </c>
      <c r="B41" s="217" t="str">
        <f>Lists!T46</f>
        <v/>
      </c>
      <c r="C41" s="14"/>
      <c r="D41" s="268"/>
      <c r="E41" s="268"/>
      <c r="F41" s="268"/>
      <c r="G41" s="268"/>
      <c r="H41" s="268"/>
      <c r="I41" s="268"/>
      <c r="J41" s="268"/>
      <c r="K41" s="268"/>
      <c r="L41" s="268"/>
      <c r="M41" s="268"/>
      <c r="N41" s="268"/>
      <c r="O41" s="268"/>
      <c r="P41" s="14"/>
      <c r="Q41" s="14"/>
      <c r="R41" s="14"/>
      <c r="S41" s="14"/>
      <c r="T41" s="14"/>
      <c r="U41" s="14"/>
      <c r="V41" s="14"/>
      <c r="W41" s="14"/>
      <c r="X41" s="14"/>
      <c r="Y41" s="14"/>
      <c r="Z41" s="14"/>
      <c r="AA41" s="14"/>
      <c r="AB41" s="14"/>
      <c r="AC41" s="14"/>
      <c r="AD41" s="14"/>
      <c r="AE41" s="14"/>
      <c r="AF41" s="14"/>
      <c r="AG41" s="14"/>
      <c r="AH41" s="14"/>
      <c r="AI41" s="14"/>
      <c r="AJ41" s="14"/>
      <c r="AK41" s="14"/>
      <c r="AL41" s="14"/>
    </row>
    <row r="42" spans="1:38" ht="15.75">
      <c r="A42" s="220" t="str">
        <f>Lists!S47</f>
        <v/>
      </c>
      <c r="B42" s="217" t="str">
        <f>Lists!T47</f>
        <v/>
      </c>
      <c r="C42" s="14"/>
      <c r="D42" s="268"/>
      <c r="E42" s="268"/>
      <c r="F42" s="268"/>
      <c r="G42" s="268"/>
      <c r="H42" s="268"/>
      <c r="I42" s="268"/>
      <c r="J42" s="268"/>
      <c r="K42" s="268"/>
      <c r="L42" s="268"/>
      <c r="M42" s="268"/>
      <c r="N42" s="268"/>
      <c r="O42" s="268"/>
      <c r="P42" s="14"/>
      <c r="Q42" s="14"/>
      <c r="R42" s="14"/>
      <c r="S42" s="14"/>
      <c r="T42" s="14"/>
      <c r="U42" s="14"/>
      <c r="V42" s="14"/>
      <c r="W42" s="14"/>
      <c r="X42" s="14"/>
      <c r="Y42" s="14"/>
      <c r="Z42" s="14"/>
      <c r="AA42" s="14"/>
      <c r="AB42" s="14"/>
      <c r="AC42" s="14"/>
      <c r="AD42" s="14"/>
      <c r="AE42" s="14"/>
      <c r="AF42" s="14"/>
      <c r="AG42" s="14"/>
      <c r="AH42" s="14"/>
      <c r="AI42" s="14"/>
      <c r="AJ42" s="14"/>
      <c r="AK42" s="14"/>
      <c r="AL42" s="14"/>
    </row>
    <row r="43" spans="1:38" ht="15.75">
      <c r="A43" s="220" t="str">
        <f>Lists!S48</f>
        <v/>
      </c>
      <c r="B43" s="217" t="str">
        <f>Lists!T48</f>
        <v/>
      </c>
      <c r="C43" s="14"/>
      <c r="D43" s="268"/>
      <c r="E43" s="268"/>
      <c r="F43" s="268"/>
      <c r="G43" s="268"/>
      <c r="H43" s="268"/>
      <c r="I43" s="268"/>
      <c r="J43" s="268"/>
      <c r="K43" s="268"/>
      <c r="L43" s="268"/>
      <c r="M43" s="268"/>
      <c r="N43" s="268"/>
      <c r="O43" s="268"/>
      <c r="P43" s="14"/>
      <c r="Q43" s="14"/>
      <c r="R43" s="14"/>
      <c r="S43" s="14"/>
      <c r="T43" s="14"/>
      <c r="U43" s="14"/>
      <c r="V43" s="14"/>
      <c r="W43" s="14"/>
      <c r="X43" s="14"/>
      <c r="Y43" s="14"/>
      <c r="Z43" s="14"/>
      <c r="AA43" s="14"/>
      <c r="AB43" s="14"/>
      <c r="AC43" s="14"/>
      <c r="AD43" s="14"/>
      <c r="AE43" s="14"/>
      <c r="AF43" s="14"/>
      <c r="AG43" s="14"/>
      <c r="AH43" s="14"/>
      <c r="AI43" s="14"/>
      <c r="AJ43" s="14"/>
      <c r="AK43" s="14"/>
      <c r="AL43" s="14"/>
    </row>
    <row r="44" spans="1:38" s="422" customFormat="1">
      <c r="A44" s="220" t="str">
        <f>Lists!S49</f>
        <v/>
      </c>
      <c r="B44" s="217" t="str">
        <f>Lists!T49</f>
        <v/>
      </c>
      <c r="C44" s="428"/>
      <c r="D44" s="428"/>
      <c r="E44" s="428"/>
      <c r="F44" s="428"/>
      <c r="G44" s="428"/>
      <c r="H44" s="428"/>
      <c r="I44" s="428"/>
      <c r="J44" s="428"/>
      <c r="K44" s="428"/>
      <c r="L44" s="428"/>
      <c r="M44" s="428"/>
      <c r="N44" s="428"/>
      <c r="O44" s="428"/>
      <c r="P44" s="428"/>
      <c r="Q44" s="428"/>
      <c r="R44" s="428"/>
      <c r="S44" s="428"/>
      <c r="T44" s="428"/>
      <c r="U44" s="428"/>
      <c r="V44" s="428"/>
      <c r="W44" s="428"/>
      <c r="X44" s="428"/>
      <c r="Y44" s="428"/>
      <c r="Z44" s="428"/>
      <c r="AA44" s="428"/>
      <c r="AB44" s="428"/>
      <c r="AC44" s="428"/>
      <c r="AD44" s="428"/>
      <c r="AE44" s="428"/>
      <c r="AF44" s="428"/>
      <c r="AG44" s="428"/>
      <c r="AH44" s="428"/>
      <c r="AI44" s="428"/>
      <c r="AJ44" s="428"/>
      <c r="AK44" s="428"/>
      <c r="AL44" s="428"/>
    </row>
    <row r="45" spans="1:38" s="422" customFormat="1">
      <c r="A45" s="220" t="str">
        <f>Lists!S50</f>
        <v/>
      </c>
      <c r="B45" s="217" t="str">
        <f>Lists!T50</f>
        <v/>
      </c>
      <c r="C45" s="428"/>
      <c r="D45" s="428"/>
      <c r="E45" s="428"/>
      <c r="F45" s="428"/>
      <c r="G45" s="428"/>
      <c r="H45" s="428"/>
      <c r="I45" s="428"/>
      <c r="J45" s="428"/>
      <c r="K45" s="428"/>
      <c r="L45" s="428"/>
      <c r="M45" s="428"/>
      <c r="N45" s="428"/>
      <c r="O45" s="428"/>
      <c r="P45" s="428"/>
      <c r="Q45" s="428"/>
      <c r="R45" s="428"/>
      <c r="S45" s="428"/>
      <c r="T45" s="428"/>
      <c r="U45" s="428"/>
      <c r="V45" s="428"/>
      <c r="W45" s="428"/>
      <c r="X45" s="428"/>
      <c r="Y45" s="428"/>
      <c r="Z45" s="428"/>
      <c r="AA45" s="428"/>
      <c r="AB45" s="428"/>
      <c r="AC45" s="428"/>
      <c r="AD45" s="428"/>
      <c r="AE45" s="428"/>
      <c r="AF45" s="428"/>
      <c r="AG45" s="428"/>
      <c r="AH45" s="428"/>
      <c r="AI45" s="428"/>
      <c r="AJ45" s="428"/>
      <c r="AK45" s="428"/>
      <c r="AL45" s="428"/>
    </row>
    <row r="46" spans="1:38" s="422" customFormat="1">
      <c r="A46" s="220" t="str">
        <f>Lists!S51</f>
        <v/>
      </c>
      <c r="B46" s="217" t="str">
        <f>Lists!T51</f>
        <v/>
      </c>
      <c r="C46" s="428"/>
      <c r="D46" s="428"/>
      <c r="E46" s="428"/>
      <c r="F46" s="428"/>
      <c r="G46" s="428"/>
      <c r="H46" s="428"/>
      <c r="I46" s="428"/>
      <c r="J46" s="428"/>
      <c r="K46" s="428"/>
      <c r="L46" s="428"/>
      <c r="M46" s="428"/>
      <c r="N46" s="428"/>
      <c r="O46" s="428"/>
      <c r="P46" s="428"/>
      <c r="Q46" s="428"/>
      <c r="R46" s="428"/>
      <c r="S46" s="428"/>
      <c r="T46" s="428"/>
      <c r="U46" s="428"/>
      <c r="V46" s="428"/>
      <c r="W46" s="428"/>
      <c r="X46" s="428"/>
      <c r="Y46" s="428"/>
      <c r="Z46" s="428"/>
      <c r="AA46" s="428"/>
      <c r="AB46" s="428"/>
      <c r="AC46" s="428"/>
      <c r="AD46" s="428"/>
      <c r="AE46" s="428"/>
      <c r="AF46" s="428"/>
      <c r="AG46" s="428"/>
      <c r="AH46" s="428"/>
      <c r="AI46" s="428"/>
      <c r="AJ46" s="428"/>
      <c r="AK46" s="428"/>
      <c r="AL46" s="428"/>
    </row>
    <row r="47" spans="1:38" s="422" customFormat="1">
      <c r="A47" s="220" t="str">
        <f>Lists!S52</f>
        <v/>
      </c>
      <c r="B47" s="217" t="str">
        <f>Lists!T52</f>
        <v/>
      </c>
      <c r="C47" s="428"/>
      <c r="D47" s="428"/>
      <c r="E47" s="428"/>
      <c r="F47" s="428"/>
      <c r="G47" s="428"/>
      <c r="H47" s="428"/>
      <c r="I47" s="428"/>
      <c r="J47" s="428"/>
      <c r="K47" s="428"/>
      <c r="L47" s="428"/>
      <c r="M47" s="428"/>
      <c r="N47" s="428"/>
      <c r="O47" s="428"/>
      <c r="P47" s="428"/>
      <c r="Q47" s="428"/>
      <c r="R47" s="428"/>
      <c r="S47" s="428"/>
      <c r="T47" s="428"/>
      <c r="U47" s="428"/>
      <c r="V47" s="428"/>
      <c r="W47" s="428"/>
      <c r="X47" s="428"/>
      <c r="Y47" s="428"/>
      <c r="Z47" s="428"/>
      <c r="AA47" s="428"/>
      <c r="AB47" s="428"/>
      <c r="AC47" s="428"/>
      <c r="AD47" s="428"/>
      <c r="AE47" s="428"/>
      <c r="AF47" s="428"/>
      <c r="AG47" s="428"/>
      <c r="AH47" s="428"/>
      <c r="AI47" s="428"/>
      <c r="AJ47" s="428"/>
      <c r="AK47" s="428"/>
      <c r="AL47" s="428"/>
    </row>
    <row r="48" spans="1:38" s="422" customFormat="1">
      <c r="A48" s="428"/>
      <c r="B48" s="429"/>
      <c r="C48" s="428"/>
      <c r="D48" s="428"/>
      <c r="E48" s="428"/>
      <c r="F48" s="428"/>
      <c r="G48" s="428"/>
      <c r="H48" s="428"/>
      <c r="I48" s="428"/>
      <c r="J48" s="428"/>
      <c r="K48" s="428"/>
      <c r="L48" s="428"/>
      <c r="M48" s="428"/>
      <c r="N48" s="428"/>
      <c r="O48" s="428"/>
      <c r="P48" s="428"/>
      <c r="Q48" s="428"/>
      <c r="R48" s="428"/>
      <c r="S48" s="428"/>
      <c r="T48" s="428"/>
      <c r="U48" s="428"/>
      <c r="V48" s="428"/>
      <c r="W48" s="428"/>
      <c r="X48" s="428"/>
      <c r="Y48" s="428"/>
      <c r="Z48" s="428"/>
      <c r="AA48" s="428"/>
      <c r="AB48" s="428"/>
      <c r="AC48" s="428"/>
      <c r="AD48" s="428"/>
      <c r="AE48" s="428"/>
      <c r="AF48" s="428"/>
      <c r="AG48" s="428"/>
      <c r="AH48" s="428"/>
      <c r="AI48" s="428"/>
      <c r="AJ48" s="428"/>
      <c r="AK48" s="428"/>
      <c r="AL48" s="428"/>
    </row>
    <row r="49" spans="1:38" s="422" customFormat="1">
      <c r="A49" s="428"/>
      <c r="B49" s="429"/>
      <c r="C49" s="428"/>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row>
    <row r="50" spans="1:38" s="422" customFormat="1">
      <c r="A50" s="428"/>
      <c r="B50" s="429"/>
      <c r="C50" s="428"/>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row>
    <row r="51" spans="1:38" s="422" customFormat="1">
      <c r="A51" s="428"/>
      <c r="B51" s="429"/>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428"/>
      <c r="AK51" s="428"/>
      <c r="AL51" s="428"/>
    </row>
    <row r="52" spans="1:38" s="422" customFormat="1">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row>
    <row r="53" spans="1:38" s="422" customFormat="1">
      <c r="A53" s="428"/>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row>
    <row r="54" spans="1:38" s="422" customFormat="1">
      <c r="A54" s="428"/>
      <c r="B54" s="428"/>
      <c r="C54" s="428"/>
      <c r="D54" s="428"/>
      <c r="E54" s="428"/>
      <c r="F54" s="428"/>
      <c r="G54" s="428"/>
      <c r="H54" s="428"/>
      <c r="I54" s="428"/>
      <c r="J54" s="428"/>
      <c r="K54" s="428"/>
      <c r="L54" s="428"/>
      <c r="M54" s="428"/>
      <c r="N54" s="428"/>
      <c r="O54" s="428"/>
      <c r="P54" s="428"/>
      <c r="Q54" s="428"/>
      <c r="R54" s="428"/>
      <c r="S54" s="428"/>
      <c r="T54" s="428"/>
      <c r="U54" s="428"/>
      <c r="V54" s="428"/>
      <c r="W54" s="428"/>
      <c r="X54" s="428"/>
      <c r="Y54" s="428"/>
      <c r="Z54" s="428"/>
      <c r="AA54" s="428"/>
      <c r="AB54" s="428"/>
      <c r="AC54" s="428"/>
      <c r="AD54" s="428"/>
      <c r="AE54" s="428"/>
      <c r="AF54" s="428"/>
      <c r="AG54" s="428"/>
      <c r="AH54" s="428"/>
      <c r="AI54" s="428"/>
      <c r="AJ54" s="428"/>
      <c r="AK54" s="428"/>
      <c r="AL54" s="428"/>
    </row>
    <row r="55" spans="1:38" s="422" customFormat="1">
      <c r="A55" s="428"/>
      <c r="B55" s="428"/>
      <c r="C55" s="428"/>
      <c r="D55" s="428"/>
      <c r="E55" s="428"/>
      <c r="F55" s="428"/>
      <c r="G55" s="428"/>
      <c r="H55" s="428"/>
      <c r="I55" s="428"/>
      <c r="J55" s="428"/>
      <c r="K55" s="428"/>
      <c r="L55" s="428"/>
      <c r="M55" s="428"/>
      <c r="N55" s="428"/>
      <c r="O55" s="428"/>
      <c r="P55" s="428"/>
      <c r="Q55" s="428"/>
      <c r="R55" s="428"/>
      <c r="S55" s="428"/>
      <c r="T55" s="428"/>
      <c r="U55" s="428"/>
      <c r="V55" s="428"/>
      <c r="W55" s="428"/>
      <c r="X55" s="428"/>
      <c r="Y55" s="428"/>
      <c r="Z55" s="428"/>
      <c r="AA55" s="428"/>
      <c r="AB55" s="428"/>
      <c r="AC55" s="428"/>
      <c r="AD55" s="428"/>
      <c r="AE55" s="428"/>
      <c r="AF55" s="428"/>
      <c r="AG55" s="428"/>
      <c r="AH55" s="428"/>
      <c r="AI55" s="428"/>
      <c r="AJ55" s="428"/>
      <c r="AK55" s="428"/>
      <c r="AL55" s="428"/>
    </row>
    <row r="56" spans="1:38" s="422" customFormat="1">
      <c r="A56" s="428"/>
      <c r="B56" s="428"/>
      <c r="C56" s="428"/>
      <c r="D56" s="428"/>
      <c r="E56" s="428"/>
      <c r="F56" s="428"/>
      <c r="G56" s="428"/>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8"/>
      <c r="AJ56" s="428"/>
      <c r="AK56" s="428"/>
      <c r="AL56" s="428"/>
    </row>
    <row r="57" spans="1:38" s="431" customFormat="1">
      <c r="A57" s="430"/>
      <c r="B57" s="428"/>
      <c r="C57" s="428"/>
      <c r="D57" s="428"/>
      <c r="E57" s="428"/>
      <c r="F57" s="428"/>
      <c r="G57" s="428"/>
      <c r="H57" s="428"/>
      <c r="I57" s="428"/>
      <c r="J57" s="428"/>
      <c r="K57" s="428"/>
      <c r="L57" s="428"/>
      <c r="M57" s="428"/>
      <c r="N57" s="428"/>
      <c r="O57" s="428"/>
      <c r="P57" s="428"/>
      <c r="Q57" s="428"/>
      <c r="R57" s="430"/>
      <c r="S57" s="430"/>
      <c r="T57" s="430"/>
      <c r="U57" s="430"/>
      <c r="V57" s="430"/>
      <c r="W57" s="430"/>
      <c r="X57" s="430"/>
      <c r="Y57" s="430"/>
      <c r="Z57" s="430"/>
      <c r="AA57" s="430"/>
      <c r="AB57" s="430"/>
      <c r="AC57" s="430"/>
      <c r="AD57" s="430"/>
      <c r="AE57" s="430"/>
      <c r="AF57" s="430"/>
      <c r="AG57" s="430"/>
      <c r="AH57" s="430"/>
      <c r="AI57" s="430"/>
      <c r="AJ57" s="430"/>
      <c r="AK57" s="430"/>
      <c r="AL57" s="430"/>
    </row>
    <row r="58" spans="1:38" s="431" customFormat="1">
      <c r="A58" s="430"/>
      <c r="B58" s="428"/>
      <c r="C58" s="428"/>
      <c r="D58" s="428"/>
      <c r="E58" s="428"/>
      <c r="F58" s="428"/>
      <c r="G58" s="428"/>
      <c r="H58" s="428"/>
      <c r="I58" s="428"/>
      <c r="J58" s="428"/>
      <c r="K58" s="428"/>
      <c r="L58" s="428"/>
      <c r="M58" s="428"/>
      <c r="N58" s="428"/>
      <c r="O58" s="428"/>
      <c r="P58" s="428"/>
      <c r="Q58" s="428"/>
      <c r="R58" s="430"/>
      <c r="S58" s="430"/>
      <c r="T58" s="430"/>
      <c r="U58" s="430"/>
      <c r="V58" s="430"/>
      <c r="W58" s="430"/>
      <c r="X58" s="430"/>
      <c r="Y58" s="430"/>
      <c r="Z58" s="430"/>
      <c r="AA58" s="430"/>
      <c r="AB58" s="430"/>
      <c r="AC58" s="430"/>
      <c r="AD58" s="430"/>
      <c r="AE58" s="430"/>
      <c r="AF58" s="430"/>
      <c r="AG58" s="430"/>
      <c r="AH58" s="430"/>
      <c r="AI58" s="430"/>
      <c r="AJ58" s="430"/>
      <c r="AK58" s="430"/>
      <c r="AL58" s="430"/>
    </row>
    <row r="59" spans="1:38" s="431" customFormat="1">
      <c r="A59" s="430"/>
      <c r="B59" s="428"/>
      <c r="C59" s="428"/>
      <c r="D59" s="428"/>
      <c r="E59" s="428"/>
      <c r="F59" s="428"/>
      <c r="G59" s="428"/>
      <c r="H59" s="428"/>
      <c r="I59" s="428"/>
      <c r="J59" s="428"/>
      <c r="K59" s="428"/>
      <c r="L59" s="428"/>
      <c r="M59" s="428"/>
      <c r="N59" s="428"/>
      <c r="O59" s="428"/>
      <c r="P59" s="428"/>
      <c r="Q59" s="428"/>
      <c r="R59" s="430"/>
      <c r="S59" s="430"/>
      <c r="T59" s="430"/>
      <c r="U59" s="430"/>
      <c r="V59" s="430"/>
      <c r="W59" s="430"/>
      <c r="X59" s="430"/>
      <c r="Y59" s="430"/>
      <c r="Z59" s="430"/>
      <c r="AA59" s="430"/>
      <c r="AB59" s="430"/>
      <c r="AC59" s="430"/>
      <c r="AD59" s="430"/>
      <c r="AE59" s="430"/>
      <c r="AF59" s="430"/>
      <c r="AG59" s="430"/>
      <c r="AH59" s="430"/>
      <c r="AI59" s="430"/>
      <c r="AJ59" s="430"/>
      <c r="AK59" s="430"/>
      <c r="AL59" s="430"/>
    </row>
    <row r="60" spans="1:38" s="431" customFormat="1">
      <c r="A60" s="430"/>
      <c r="B60" s="428"/>
      <c r="C60" s="428"/>
      <c r="D60" s="428"/>
      <c r="E60" s="428"/>
      <c r="F60" s="428"/>
      <c r="G60" s="428"/>
      <c r="H60" s="428"/>
      <c r="I60" s="428"/>
      <c r="J60" s="428"/>
      <c r="K60" s="428"/>
      <c r="L60" s="428"/>
      <c r="M60" s="428"/>
      <c r="N60" s="428"/>
      <c r="O60" s="428"/>
      <c r="P60" s="428"/>
      <c r="Q60" s="428"/>
      <c r="R60" s="430"/>
      <c r="S60" s="430"/>
      <c r="T60" s="430"/>
      <c r="U60" s="430"/>
      <c r="V60" s="430"/>
      <c r="W60" s="430"/>
      <c r="X60" s="430"/>
      <c r="Y60" s="430"/>
      <c r="Z60" s="430"/>
      <c r="AA60" s="430"/>
      <c r="AB60" s="430"/>
      <c r="AC60" s="430"/>
      <c r="AD60" s="430"/>
      <c r="AE60" s="430"/>
      <c r="AF60" s="430"/>
      <c r="AG60" s="430"/>
      <c r="AH60" s="430"/>
      <c r="AI60" s="430"/>
      <c r="AJ60" s="430"/>
      <c r="AK60" s="430"/>
      <c r="AL60" s="430"/>
    </row>
    <row r="61" spans="1:38" s="431" customFormat="1">
      <c r="A61" s="430"/>
      <c r="B61" s="430"/>
      <c r="C61" s="430"/>
      <c r="D61" s="430"/>
      <c r="E61" s="430"/>
      <c r="F61" s="430"/>
      <c r="G61" s="430"/>
      <c r="H61" s="430"/>
      <c r="I61" s="430"/>
      <c r="J61" s="430"/>
      <c r="K61" s="430"/>
      <c r="L61" s="430"/>
      <c r="M61" s="430"/>
      <c r="N61" s="430"/>
      <c r="O61" s="430"/>
      <c r="P61" s="430"/>
      <c r="Q61" s="430"/>
      <c r="R61" s="430"/>
      <c r="S61" s="430">
        <f>R62+1</f>
        <v>1</v>
      </c>
      <c r="T61" s="430">
        <f>S61+1</f>
        <v>2</v>
      </c>
      <c r="U61" s="430">
        <f>T61+1</f>
        <v>3</v>
      </c>
      <c r="V61" s="430">
        <f>U61+1</f>
        <v>4</v>
      </c>
      <c r="W61" s="430">
        <f>V61+1</f>
        <v>5</v>
      </c>
      <c r="X61" s="430"/>
      <c r="Y61" s="430"/>
      <c r="Z61" s="430"/>
      <c r="AA61" s="430"/>
      <c r="AB61" s="430"/>
      <c r="AC61" s="430"/>
      <c r="AD61" s="430"/>
      <c r="AE61" s="430"/>
      <c r="AF61" s="430"/>
      <c r="AG61" s="430"/>
      <c r="AH61" s="430"/>
      <c r="AI61" s="430"/>
      <c r="AJ61" s="430"/>
      <c r="AK61" s="430"/>
      <c r="AL61" s="430"/>
    </row>
    <row r="62" spans="1:38" s="431" customFormat="1">
      <c r="A62" s="430"/>
      <c r="B62" s="430"/>
      <c r="C62" s="430"/>
      <c r="D62" s="430"/>
      <c r="E62" s="430" t="str">
        <f t="shared" ref="E62:I63" si="0">E24</f>
        <v>Base</v>
      </c>
      <c r="F62" s="430" t="str">
        <f t="shared" si="0"/>
        <v>High Inflation</v>
      </c>
      <c r="G62" s="430" t="str">
        <f t="shared" si="0"/>
        <v>Base + 3%/y</v>
      </c>
      <c r="H62" s="430" t="str">
        <f t="shared" si="0"/>
        <v>Base - 1.5%/y</v>
      </c>
      <c r="I62" s="430" t="str">
        <f t="shared" si="0"/>
        <v>Base + 3%/y</v>
      </c>
      <c r="J62" s="430"/>
      <c r="K62" s="430"/>
      <c r="L62" s="430">
        <f>RANK(Thresholds!L64,Thresholds!$L$64:$P$64,1)</f>
        <v>3</v>
      </c>
      <c r="M62" s="430">
        <f>RANK(Thresholds!M64,Thresholds!$L$64:$P$64,1)</f>
        <v>2</v>
      </c>
      <c r="N62" s="430">
        <f>RANK(Thresholds!N64,Thresholds!$L$64:$P$64,1)</f>
        <v>4</v>
      </c>
      <c r="O62" s="430">
        <f>RANK(Thresholds!O64,Thresholds!$L$64:$P$64,1)</f>
        <v>1</v>
      </c>
      <c r="P62" s="430">
        <f>RANK(Thresholds!P64,Thresholds!$L$64:$P$64,1)</f>
        <v>4</v>
      </c>
      <c r="Q62" s="430"/>
      <c r="R62" s="430"/>
      <c r="S62" s="430">
        <f>MATCH(S61,$L$62:$P$62,0)</f>
        <v>4</v>
      </c>
      <c r="T62" s="430">
        <f>MATCH(T61,$L$62:$P$62,0)</f>
        <v>2</v>
      </c>
      <c r="U62" s="430">
        <f>MATCH(U61,$L$62:$P$62,0)</f>
        <v>1</v>
      </c>
      <c r="V62" s="430">
        <f>MATCH(V61,$L$62:$P$62,0)</f>
        <v>3</v>
      </c>
      <c r="W62" s="430" t="e">
        <f>MATCH(W61,$L$62:$P$62,0)</f>
        <v>#N/A</v>
      </c>
      <c r="X62" s="430"/>
      <c r="Y62" s="430"/>
      <c r="Z62" s="430"/>
      <c r="AA62" s="430"/>
      <c r="AB62" s="430"/>
      <c r="AC62" s="430"/>
      <c r="AD62" s="430"/>
      <c r="AE62" s="430"/>
      <c r="AF62" s="430"/>
      <c r="AG62" s="430"/>
      <c r="AH62" s="430"/>
      <c r="AI62" s="430"/>
      <c r="AJ62" s="430"/>
      <c r="AK62" s="430"/>
      <c r="AL62" s="430"/>
    </row>
    <row r="63" spans="1:38" s="431" customFormat="1">
      <c r="A63" s="430"/>
      <c r="B63" s="430"/>
      <c r="C63" s="430"/>
      <c r="D63" s="430"/>
      <c r="E63" s="430" t="str">
        <f t="shared" si="0"/>
        <v>Scenario 1 : Base</v>
      </c>
      <c r="F63" s="430" t="str">
        <f t="shared" si="0"/>
        <v>Scenario 2 : High Inflation</v>
      </c>
      <c r="G63" s="430" t="str">
        <f t="shared" si="0"/>
        <v>Scenario 3 : Base + 3%/y</v>
      </c>
      <c r="H63" s="430" t="str">
        <f t="shared" si="0"/>
        <v>Scenario 4 : Base - 1.5%/y</v>
      </c>
      <c r="I63" s="430" t="str">
        <f t="shared" si="0"/>
        <v>Scenario 3 : Base + 3%/y</v>
      </c>
      <c r="J63" s="430"/>
      <c r="K63" s="430"/>
      <c r="L63" s="430" t="str">
        <f>E62</f>
        <v>Base</v>
      </c>
      <c r="M63" s="430" t="str">
        <f>F62</f>
        <v>High Inflation</v>
      </c>
      <c r="N63" s="430" t="str">
        <f>G62</f>
        <v>Base + 3%/y</v>
      </c>
      <c r="O63" s="430" t="str">
        <f>H62</f>
        <v>Base - 1.5%/y</v>
      </c>
      <c r="P63" s="430" t="str">
        <f>I62</f>
        <v>Base + 3%/y</v>
      </c>
      <c r="Q63" s="430"/>
      <c r="R63" s="430"/>
      <c r="S63" s="430" t="str">
        <f>L63</f>
        <v>Base</v>
      </c>
      <c r="T63" s="430" t="str">
        <f t="shared" ref="T63:W67" si="1">M63</f>
        <v>High Inflation</v>
      </c>
      <c r="U63" s="430" t="str">
        <f t="shared" si="1"/>
        <v>Base + 3%/y</v>
      </c>
      <c r="V63" s="430" t="str">
        <f t="shared" si="1"/>
        <v>Base - 1.5%/y</v>
      </c>
      <c r="W63" s="430" t="str">
        <f t="shared" si="1"/>
        <v>Base + 3%/y</v>
      </c>
      <c r="X63" s="430"/>
      <c r="Y63" s="430"/>
      <c r="Z63" s="430"/>
      <c r="AA63" s="430"/>
      <c r="AB63" s="430"/>
      <c r="AC63" s="430"/>
      <c r="AD63" s="430"/>
      <c r="AE63" s="430"/>
      <c r="AF63" s="430"/>
      <c r="AG63" s="430"/>
      <c r="AH63" s="430"/>
      <c r="AI63" s="430"/>
      <c r="AJ63" s="430"/>
      <c r="AK63" s="430"/>
      <c r="AL63" s="430"/>
    </row>
    <row r="64" spans="1:38" s="431" customFormat="1">
      <c r="A64" s="430"/>
      <c r="B64" s="430" t="s">
        <v>38</v>
      </c>
      <c r="C64" s="430"/>
      <c r="D64" s="430">
        <f ca="1">-CashFlow!J17</f>
        <v>10322.711033597319</v>
      </c>
      <c r="E64" s="430">
        <f t="dataTable" ref="E64:I67" dt2D="0" dtr="1" r1="E4" ca="1"/>
        <v>10322.711033597319</v>
      </c>
      <c r="F64" s="430">
        <v>9588.5417583414055</v>
      </c>
      <c r="G64" s="430">
        <v>19312.159416444109</v>
      </c>
      <c r="H64" s="430">
        <v>7840.7249269985678</v>
      </c>
      <c r="I64" s="430">
        <v>19312.159416444109</v>
      </c>
      <c r="J64" s="430"/>
      <c r="K64" s="430" t="s">
        <v>38</v>
      </c>
      <c r="L64" s="432">
        <f>Thresholds!E64/Thresholds!E$68</f>
        <v>0.3012871276697367</v>
      </c>
      <c r="M64" s="432">
        <f>Thresholds!F64/Thresholds!F$68</f>
        <v>0.29422351812382497</v>
      </c>
      <c r="N64" s="432">
        <f>Thresholds!G64/Thresholds!G$68</f>
        <v>0.32521563951489352</v>
      </c>
      <c r="O64" s="432">
        <f>Thresholds!H64/Thresholds!H$68</f>
        <v>0.28798530122699628</v>
      </c>
      <c r="P64" s="432">
        <f>Thresholds!I64/Thresholds!I$68</f>
        <v>0.32521563951489352</v>
      </c>
      <c r="Q64" s="430"/>
      <c r="R64" s="430" t="s">
        <v>38</v>
      </c>
      <c r="S64" s="432">
        <f>L64</f>
        <v>0.3012871276697367</v>
      </c>
      <c r="T64" s="432">
        <f t="shared" si="1"/>
        <v>0.29422351812382497</v>
      </c>
      <c r="U64" s="432">
        <f t="shared" si="1"/>
        <v>0.32521563951489352</v>
      </c>
      <c r="V64" s="432">
        <f t="shared" si="1"/>
        <v>0.28798530122699628</v>
      </c>
      <c r="W64" s="432">
        <f t="shared" si="1"/>
        <v>0.32521563951489352</v>
      </c>
      <c r="X64" s="430"/>
      <c r="Y64" s="430"/>
      <c r="Z64" s="430"/>
      <c r="AA64" s="430"/>
      <c r="AB64" s="430"/>
      <c r="AC64" s="430"/>
      <c r="AD64" s="430"/>
      <c r="AE64" s="430"/>
      <c r="AF64" s="430"/>
      <c r="AG64" s="430"/>
      <c r="AH64" s="430"/>
      <c r="AI64" s="430"/>
      <c r="AJ64" s="430"/>
      <c r="AK64" s="430"/>
      <c r="AL64" s="430"/>
    </row>
    <row r="65" spans="1:38" s="431" customFormat="1">
      <c r="A65" s="430"/>
      <c r="B65" s="430" t="s">
        <v>133</v>
      </c>
      <c r="C65" s="430"/>
      <c r="D65" s="430">
        <f ca="1">-CashFlow!J18</f>
        <v>3384.235936311456</v>
      </c>
      <c r="E65" s="430">
        <v>3384.235936311456</v>
      </c>
      <c r="F65" s="430">
        <v>3260.1156325596635</v>
      </c>
      <c r="G65" s="430">
        <v>5614.9905019296575</v>
      </c>
      <c r="H65" s="430">
        <v>2741.428240784202</v>
      </c>
      <c r="I65" s="430">
        <v>5614.9905019296575</v>
      </c>
      <c r="J65" s="430"/>
      <c r="K65" s="430" t="s">
        <v>133</v>
      </c>
      <c r="L65" s="432">
        <f>Thresholds!E65/Thresholds!E$68</f>
        <v>9.8775091280711269E-2</v>
      </c>
      <c r="M65" s="432">
        <f>Thresholds!F65/Thresholds!F$68</f>
        <v>0.10003634703553743</v>
      </c>
      <c r="N65" s="432">
        <f>Thresholds!G65/Thresholds!G$68</f>
        <v>9.4556112943030887E-2</v>
      </c>
      <c r="O65" s="432">
        <f>Thresholds!H65/Thresholds!H$68</f>
        <v>0.10069107704517449</v>
      </c>
      <c r="P65" s="432">
        <f>Thresholds!I65/Thresholds!I$68</f>
        <v>9.4556112943030887E-2</v>
      </c>
      <c r="Q65" s="430"/>
      <c r="R65" s="430" t="s">
        <v>133</v>
      </c>
      <c r="S65" s="432">
        <f>L65</f>
        <v>9.8775091280711269E-2</v>
      </c>
      <c r="T65" s="432">
        <f t="shared" si="1"/>
        <v>0.10003634703553743</v>
      </c>
      <c r="U65" s="432">
        <f t="shared" si="1"/>
        <v>9.4556112943030887E-2</v>
      </c>
      <c r="V65" s="432">
        <f t="shared" si="1"/>
        <v>0.10069107704517449</v>
      </c>
      <c r="W65" s="432">
        <f t="shared" si="1"/>
        <v>9.4556112943030887E-2</v>
      </c>
      <c r="X65" s="430"/>
      <c r="Y65" s="430"/>
      <c r="Z65" s="430"/>
      <c r="AA65" s="430"/>
      <c r="AB65" s="430"/>
      <c r="AC65" s="430"/>
      <c r="AD65" s="430"/>
      <c r="AE65" s="430"/>
      <c r="AF65" s="430"/>
      <c r="AG65" s="430"/>
      <c r="AH65" s="430"/>
      <c r="AI65" s="430"/>
      <c r="AJ65" s="430"/>
      <c r="AK65" s="430"/>
      <c r="AL65" s="430"/>
    </row>
    <row r="66" spans="1:38" s="431" customFormat="1">
      <c r="A66" s="430"/>
      <c r="B66" s="430" t="s">
        <v>134</v>
      </c>
      <c r="C66" s="430"/>
      <c r="D66" s="430">
        <f ca="1">-CashFlow!J19</f>
        <v>3664.101572523241</v>
      </c>
      <c r="E66" s="430">
        <v>3664.101572523241</v>
      </c>
      <c r="F66" s="430">
        <v>3537.5717015668929</v>
      </c>
      <c r="G66" s="430">
        <v>6037.9193121038516</v>
      </c>
      <c r="H66" s="430">
        <v>2979.3145953040002</v>
      </c>
      <c r="I66" s="430">
        <v>6037.9193121038516</v>
      </c>
      <c r="J66" s="430"/>
      <c r="K66" s="430" t="s">
        <v>134</v>
      </c>
      <c r="L66" s="432">
        <f>Thresholds!E66/Thresholds!E$68</f>
        <v>0.10694347973925439</v>
      </c>
      <c r="M66" s="432">
        <f>Thresholds!F66/Thresholds!F$68</f>
        <v>0.10855006088332847</v>
      </c>
      <c r="N66" s="432">
        <f>Thresholds!G66/Thresholds!G$68</f>
        <v>0.10167820946802938</v>
      </c>
      <c r="O66" s="432">
        <f>Thresholds!H66/Thresholds!H$68</f>
        <v>0.10942850554853623</v>
      </c>
      <c r="P66" s="432">
        <f>Thresholds!I66/Thresholds!I$68</f>
        <v>0.10167820946802938</v>
      </c>
      <c r="Q66" s="430"/>
      <c r="R66" s="430" t="s">
        <v>134</v>
      </c>
      <c r="S66" s="432">
        <f>L66</f>
        <v>0.10694347973925439</v>
      </c>
      <c r="T66" s="432">
        <f t="shared" si="1"/>
        <v>0.10855006088332847</v>
      </c>
      <c r="U66" s="432">
        <f t="shared" si="1"/>
        <v>0.10167820946802938</v>
      </c>
      <c r="V66" s="432">
        <f t="shared" si="1"/>
        <v>0.10942850554853623</v>
      </c>
      <c r="W66" s="432">
        <f t="shared" si="1"/>
        <v>0.10167820946802938</v>
      </c>
      <c r="X66" s="430"/>
      <c r="Y66" s="430"/>
      <c r="Z66" s="430"/>
      <c r="AA66" s="430"/>
      <c r="AB66" s="430"/>
      <c r="AC66" s="430"/>
      <c r="AD66" s="430"/>
      <c r="AE66" s="430"/>
      <c r="AF66" s="430"/>
      <c r="AG66" s="430"/>
      <c r="AH66" s="430"/>
      <c r="AI66" s="430"/>
      <c r="AJ66" s="430"/>
      <c r="AK66" s="430"/>
      <c r="AL66" s="430"/>
    </row>
    <row r="67" spans="1:38" s="431" customFormat="1">
      <c r="A67" s="430"/>
      <c r="B67" s="430" t="s">
        <v>135</v>
      </c>
      <c r="C67" s="430"/>
      <c r="D67" s="430">
        <f ca="1">CashFlow!$J$22</f>
        <v>16890.989512220003</v>
      </c>
      <c r="E67" s="430">
        <v>16890.989512220003</v>
      </c>
      <c r="F67" s="430">
        <v>16203.081984650067</v>
      </c>
      <c r="G67" s="430">
        <v>28417.559001211994</v>
      </c>
      <c r="H67" s="430">
        <v>13664.661117770025</v>
      </c>
      <c r="I67" s="430">
        <v>28417.559001211994</v>
      </c>
      <c r="J67" s="430"/>
      <c r="K67" s="430" t="s">
        <v>135</v>
      </c>
      <c r="L67" s="432">
        <f>Thresholds!E67/Thresholds!E$68</f>
        <v>0.4929943013102977</v>
      </c>
      <c r="M67" s="432">
        <f>Thresholds!F67/Thresholds!F$68</f>
        <v>0.49719007395730913</v>
      </c>
      <c r="N67" s="432">
        <f>Thresholds!G67/Thresholds!G$68</f>
        <v>0.47855003807404622</v>
      </c>
      <c r="O67" s="432">
        <f>Thresholds!H67/Thresholds!H$68</f>
        <v>0.50189511617929294</v>
      </c>
      <c r="P67" s="432">
        <f>Thresholds!I67/Thresholds!I$68</f>
        <v>0.47855003807404622</v>
      </c>
      <c r="Q67" s="430"/>
      <c r="R67" s="430" t="s">
        <v>135</v>
      </c>
      <c r="S67" s="432">
        <f>L67</f>
        <v>0.4929943013102977</v>
      </c>
      <c r="T67" s="432">
        <f t="shared" si="1"/>
        <v>0.49719007395730913</v>
      </c>
      <c r="U67" s="432">
        <f t="shared" si="1"/>
        <v>0.47855003807404622</v>
      </c>
      <c r="V67" s="432">
        <f t="shared" si="1"/>
        <v>0.50189511617929294</v>
      </c>
      <c r="W67" s="432">
        <f t="shared" si="1"/>
        <v>0.47855003807404622</v>
      </c>
      <c r="X67" s="430"/>
      <c r="Y67" s="430"/>
      <c r="Z67" s="430"/>
      <c r="AA67" s="430"/>
      <c r="AB67" s="430"/>
      <c r="AC67" s="430"/>
      <c r="AD67" s="430"/>
      <c r="AE67" s="430"/>
      <c r="AF67" s="430"/>
      <c r="AG67" s="430"/>
      <c r="AH67" s="430"/>
      <c r="AI67" s="430"/>
      <c r="AJ67" s="430"/>
      <c r="AK67" s="430"/>
      <c r="AL67" s="430"/>
    </row>
    <row r="68" spans="1:38" s="431" customFormat="1">
      <c r="A68" s="430"/>
      <c r="B68" s="430"/>
      <c r="C68" s="430"/>
      <c r="D68" s="430">
        <f t="shared" ref="D68:I68" ca="1" si="2">SUM(D64:D67)</f>
        <v>34262.038054652017</v>
      </c>
      <c r="E68" s="430">
        <f t="shared" si="2"/>
        <v>34262.038054652017</v>
      </c>
      <c r="F68" s="430">
        <f t="shared" si="2"/>
        <v>32589.311077118029</v>
      </c>
      <c r="G68" s="430">
        <f t="shared" si="2"/>
        <v>59382.62823168961</v>
      </c>
      <c r="H68" s="430">
        <f t="shared" si="2"/>
        <v>27226.128880856795</v>
      </c>
      <c r="I68" s="430">
        <f t="shared" si="2"/>
        <v>59382.62823168961</v>
      </c>
      <c r="J68" s="430"/>
      <c r="K68" s="430"/>
      <c r="L68" s="430"/>
      <c r="M68" s="430"/>
      <c r="N68" s="430"/>
      <c r="O68" s="430"/>
      <c r="P68" s="430"/>
      <c r="Q68" s="430"/>
      <c r="R68" s="430"/>
      <c r="S68" s="430"/>
      <c r="T68" s="430"/>
      <c r="U68" s="430"/>
      <c r="V68" s="430"/>
      <c r="W68" s="430"/>
      <c r="X68" s="430"/>
      <c r="Y68" s="430"/>
      <c r="Z68" s="430"/>
      <c r="AA68" s="430"/>
      <c r="AB68" s="430"/>
      <c r="AC68" s="430"/>
      <c r="AD68" s="430"/>
      <c r="AE68" s="430"/>
      <c r="AF68" s="430"/>
      <c r="AG68" s="430"/>
      <c r="AH68" s="430"/>
      <c r="AI68" s="430"/>
      <c r="AJ68" s="430"/>
      <c r="AK68" s="430"/>
      <c r="AL68" s="430"/>
    </row>
    <row r="69" spans="1:38" s="431" customFormat="1">
      <c r="A69" s="430"/>
      <c r="B69" s="430"/>
      <c r="C69" s="430"/>
      <c r="D69" s="430"/>
      <c r="E69" s="430"/>
      <c r="F69" s="430"/>
      <c r="G69" s="430"/>
      <c r="H69" s="430"/>
      <c r="I69" s="430"/>
      <c r="J69" s="430"/>
      <c r="K69" s="430"/>
      <c r="L69" s="430"/>
      <c r="M69" s="430"/>
      <c r="N69" s="430"/>
      <c r="O69" s="430"/>
      <c r="P69" s="430"/>
      <c r="Q69" s="430"/>
      <c r="R69" s="430"/>
      <c r="S69" s="430"/>
      <c r="T69" s="430"/>
      <c r="U69" s="430"/>
      <c r="V69" s="430"/>
      <c r="W69" s="430"/>
      <c r="X69" s="430"/>
      <c r="Y69" s="430"/>
      <c r="Z69" s="430"/>
      <c r="AA69" s="430"/>
      <c r="AB69" s="430"/>
      <c r="AC69" s="430"/>
      <c r="AD69" s="430"/>
      <c r="AE69" s="430"/>
      <c r="AF69" s="430"/>
      <c r="AG69" s="430"/>
      <c r="AH69" s="430"/>
      <c r="AI69" s="430"/>
      <c r="AJ69" s="430"/>
      <c r="AK69" s="430"/>
      <c r="AL69" s="430"/>
    </row>
    <row r="70" spans="1:38" s="431" customFormat="1">
      <c r="A70" s="430"/>
      <c r="B70" s="430"/>
      <c r="C70" s="430"/>
      <c r="D70" s="430"/>
      <c r="E70" s="430">
        <f>E8</f>
        <v>40</v>
      </c>
      <c r="F70" s="430">
        <f>G8</f>
        <v>140</v>
      </c>
      <c r="G70" s="430">
        <f>I8</f>
        <v>240</v>
      </c>
      <c r="H70" s="430">
        <f>K8</f>
        <v>340</v>
      </c>
      <c r="I70" s="430">
        <f>M8</f>
        <v>440</v>
      </c>
      <c r="J70" s="430">
        <f>O8</f>
        <v>540</v>
      </c>
      <c r="K70" s="430"/>
      <c r="L70" s="430"/>
      <c r="M70" s="430"/>
      <c r="N70" s="430"/>
      <c r="O70" s="430"/>
      <c r="P70" s="430"/>
      <c r="Q70" s="430"/>
      <c r="R70" s="430"/>
      <c r="S70" s="430">
        <f>Thresholds!E70</f>
        <v>40</v>
      </c>
      <c r="T70" s="430">
        <f>Thresholds!F70</f>
        <v>140</v>
      </c>
      <c r="U70" s="430">
        <f>Thresholds!G70</f>
        <v>240</v>
      </c>
      <c r="V70" s="430">
        <f>Thresholds!H70</f>
        <v>340</v>
      </c>
      <c r="W70" s="430">
        <f>Thresholds!I70</f>
        <v>440</v>
      </c>
      <c r="X70" s="430">
        <f>Thresholds!J70</f>
        <v>540</v>
      </c>
      <c r="Y70" s="430"/>
      <c r="Z70" s="430"/>
      <c r="AA70" s="430"/>
      <c r="AB70" s="430"/>
      <c r="AC70" s="430"/>
      <c r="AD70" s="430"/>
      <c r="AE70" s="430"/>
      <c r="AF70" s="430"/>
      <c r="AG70" s="430"/>
      <c r="AH70" s="430"/>
      <c r="AI70" s="430"/>
      <c r="AJ70" s="430"/>
      <c r="AK70" s="430"/>
      <c r="AL70" s="430"/>
    </row>
    <row r="71" spans="1:38" s="431" customFormat="1">
      <c r="A71" s="430"/>
      <c r="B71" s="430" t="s">
        <v>38</v>
      </c>
      <c r="C71" s="430"/>
      <c r="D71" s="430">
        <f ca="1">-CashFlow!J17</f>
        <v>10322.711033597319</v>
      </c>
      <c r="E71" s="430">
        <f t="dataTable" ref="E71:J74" dt2D="0" dtr="1" r1="E2" ca="1"/>
        <v>129.26789825194297</v>
      </c>
      <c r="F71" s="430">
        <v>3121.7988605966225</v>
      </c>
      <c r="G71" s="430">
        <v>8018.8474533182643</v>
      </c>
      <c r="H71" s="430">
        <v>12828.251770803192</v>
      </c>
      <c r="I71" s="430">
        <v>17545.614025535357</v>
      </c>
      <c r="J71" s="430">
        <v>22693.839333135456</v>
      </c>
      <c r="K71" s="430"/>
      <c r="L71" s="430"/>
      <c r="M71" s="430"/>
      <c r="N71" s="430"/>
      <c r="O71" s="430"/>
      <c r="P71" s="430"/>
      <c r="Q71" s="430"/>
      <c r="R71" s="430" t="s">
        <v>38</v>
      </c>
      <c r="S71" s="432" t="str">
        <f>IF(E$74&lt;=0,"",Thresholds!E71/Thresholds!E$75)</f>
        <v/>
      </c>
      <c r="T71" s="432">
        <f>IF(F$74&lt;=0,"",Thresholds!F71/Thresholds!F$75)</f>
        <v>0.23057778145582189</v>
      </c>
      <c r="U71" s="432">
        <f>IF(G$74&lt;=0,"",Thresholds!G71/Thresholds!G$75)</f>
        <v>0.29051321732616137</v>
      </c>
      <c r="V71" s="432">
        <f>IF(H$74&lt;=0,"",Thresholds!H71/Thresholds!H$75)</f>
        <v>0.30897625762313086</v>
      </c>
      <c r="W71" s="432">
        <f>IF(I$74&lt;=0,"",Thresholds!I71/Thresholds!I$75)</f>
        <v>0.31724232008333542</v>
      </c>
      <c r="X71" s="432">
        <f>IF(J$74&lt;=0,"",Thresholds!J71/Thresholds!J$75)</f>
        <v>0.32323054470116447</v>
      </c>
      <c r="Y71" s="432"/>
      <c r="Z71" s="432"/>
      <c r="AA71" s="432"/>
      <c r="AB71" s="432"/>
      <c r="AC71" s="432"/>
      <c r="AD71" s="430"/>
      <c r="AE71" s="430"/>
      <c r="AF71" s="430"/>
      <c r="AG71" s="430"/>
      <c r="AH71" s="430"/>
      <c r="AI71" s="430"/>
      <c r="AJ71" s="430"/>
      <c r="AK71" s="430"/>
      <c r="AL71" s="430"/>
    </row>
    <row r="72" spans="1:38" s="431" customFormat="1">
      <c r="A72" s="430"/>
      <c r="B72" s="430" t="s">
        <v>133</v>
      </c>
      <c r="C72" s="430"/>
      <c r="D72" s="430">
        <f ca="1">-CashFlow!J18</f>
        <v>3384.235936311456</v>
      </c>
      <c r="E72" s="430">
        <v>15.207102595095336</v>
      </c>
      <c r="F72" s="430">
        <v>1458.4119710080643</v>
      </c>
      <c r="G72" s="430">
        <v>2773.1083869769263</v>
      </c>
      <c r="H72" s="430">
        <v>4045.0938991950188</v>
      </c>
      <c r="I72" s="430">
        <v>5338.0669437594352</v>
      </c>
      <c r="J72" s="430">
        <v>6694.365020326064</v>
      </c>
      <c r="K72" s="430"/>
      <c r="L72" s="430"/>
      <c r="M72" s="430"/>
      <c r="N72" s="430"/>
      <c r="O72" s="430"/>
      <c r="P72" s="430"/>
      <c r="Q72" s="430"/>
      <c r="R72" s="430" t="s">
        <v>133</v>
      </c>
      <c r="S72" s="432" t="str">
        <f>IF(E$74&lt;=0,"",Thresholds!E72/Thresholds!E$75)</f>
        <v/>
      </c>
      <c r="T72" s="432">
        <f>IF(F$74&lt;=0,"",Thresholds!F72/Thresholds!F$75)</f>
        <v>0.107719110596185</v>
      </c>
      <c r="U72" s="432">
        <f>IF(G$74&lt;=0,"",Thresholds!G72/Thresholds!G$75)</f>
        <v>0.10046638799213653</v>
      </c>
      <c r="V72" s="432">
        <f>IF(H$74&lt;=0,"",Thresholds!H72/Thresholds!H$75)</f>
        <v>9.7428550439899994E-2</v>
      </c>
      <c r="W72" s="432">
        <f>IF(I$74&lt;=0,"",Thresholds!I72/Thresholds!I$75)</f>
        <v>9.6517610585402772E-2</v>
      </c>
      <c r="X72" s="432">
        <f>IF(J$74&lt;=0,"",Thresholds!J72/Thresholds!J$75)</f>
        <v>9.5348487322239925E-2</v>
      </c>
      <c r="Y72" s="432"/>
      <c r="Z72" s="432"/>
      <c r="AA72" s="432"/>
      <c r="AB72" s="432"/>
      <c r="AC72" s="432"/>
      <c r="AD72" s="430"/>
      <c r="AE72" s="430"/>
      <c r="AF72" s="430"/>
      <c r="AG72" s="430"/>
      <c r="AH72" s="430"/>
      <c r="AI72" s="430"/>
      <c r="AJ72" s="430"/>
      <c r="AK72" s="430"/>
      <c r="AL72" s="430"/>
    </row>
    <row r="73" spans="1:38" s="431" customFormat="1">
      <c r="A73" s="430"/>
      <c r="B73" s="430" t="s">
        <v>134</v>
      </c>
      <c r="C73" s="430"/>
      <c r="D73" s="430">
        <f ca="1">-CashFlow!J19</f>
        <v>3664.101572523241</v>
      </c>
      <c r="E73" s="430">
        <v>153.55994041936179</v>
      </c>
      <c r="F73" s="430">
        <v>1603.0918067192231</v>
      </c>
      <c r="G73" s="430">
        <v>3006.3120917539877</v>
      </c>
      <c r="H73" s="430">
        <v>4375.6057518572388</v>
      </c>
      <c r="I73" s="430">
        <v>5755.1620200455009</v>
      </c>
      <c r="J73" s="430">
        <v>7212.0484431044124</v>
      </c>
      <c r="K73" s="430"/>
      <c r="L73" s="430"/>
      <c r="M73" s="430"/>
      <c r="N73" s="430"/>
      <c r="O73" s="430"/>
      <c r="P73" s="430"/>
      <c r="Q73" s="430"/>
      <c r="R73" s="430" t="s">
        <v>134</v>
      </c>
      <c r="S73" s="432" t="str">
        <f>IF(E$74&lt;=0,"",Thresholds!E73/Thresholds!E$75)</f>
        <v/>
      </c>
      <c r="T73" s="432">
        <f>IF(F$74&lt;=0,"",Thresholds!F73/Thresholds!F$75)</f>
        <v>0.11840524286458368</v>
      </c>
      <c r="U73" s="432">
        <f>IF(G$74&lt;=0,"",Thresholds!G73/Thresholds!G$75)</f>
        <v>0.10891507827606622</v>
      </c>
      <c r="V73" s="432">
        <f>IF(H$74&lt;=0,"",Thresholds!H73/Thresholds!H$75)</f>
        <v>0.10538912972694547</v>
      </c>
      <c r="W73" s="432">
        <f>IF(I$74&lt;=0,"",Thresholds!I73/Thresholds!I$75)</f>
        <v>0.10405910839241896</v>
      </c>
      <c r="X73" s="432">
        <f>IF(J$74&lt;=0,"",Thresholds!J73/Thresholds!J$75)</f>
        <v>0.10272190229495841</v>
      </c>
      <c r="Y73" s="432"/>
      <c r="Z73" s="432"/>
      <c r="AA73" s="432"/>
      <c r="AB73" s="432"/>
      <c r="AC73" s="432"/>
      <c r="AD73" s="430"/>
      <c r="AE73" s="430"/>
      <c r="AF73" s="430"/>
      <c r="AG73" s="430"/>
      <c r="AH73" s="430"/>
      <c r="AI73" s="430"/>
      <c r="AJ73" s="430"/>
      <c r="AK73" s="430"/>
      <c r="AL73" s="430"/>
    </row>
    <row r="74" spans="1:38" s="431" customFormat="1">
      <c r="A74" s="430"/>
      <c r="B74" s="430" t="s">
        <v>135</v>
      </c>
      <c r="C74" s="430"/>
      <c r="D74" s="430">
        <f ca="1">CashFlow!J22</f>
        <v>16890.989512220003</v>
      </c>
      <c r="E74" s="430">
        <v>-169.29165322439349</v>
      </c>
      <c r="F74" s="430">
        <v>7355.7245866160229</v>
      </c>
      <c r="G74" s="430">
        <v>13804.081892590446</v>
      </c>
      <c r="H74" s="430">
        <v>20269.616604980634</v>
      </c>
      <c r="I74" s="430">
        <v>26667.819819475233</v>
      </c>
      <c r="J74" s="430">
        <v>33609.198955948777</v>
      </c>
      <c r="K74" s="430"/>
      <c r="L74" s="430"/>
      <c r="M74" s="430"/>
      <c r="N74" s="430"/>
      <c r="O74" s="430"/>
      <c r="P74" s="430"/>
      <c r="Q74" s="430"/>
      <c r="R74" s="430" t="s">
        <v>135</v>
      </c>
      <c r="S74" s="432" t="str">
        <f>IF(E$74&lt;=0,"",Thresholds!E74/Thresholds!E$75)</f>
        <v/>
      </c>
      <c r="T74" s="432">
        <f>IF(F$74&lt;=0,"",Thresholds!F74/Thresholds!F$75)</f>
        <v>0.54329786508340938</v>
      </c>
      <c r="U74" s="432">
        <f>IF(G$74&lt;=0,"",Thresholds!G74/Thresholds!G$75)</f>
        <v>0.50010531640563582</v>
      </c>
      <c r="V74" s="432">
        <f>IF(H$74&lt;=0,"",Thresholds!H74/Thresholds!H$75)</f>
        <v>0.48820606221002355</v>
      </c>
      <c r="W74" s="432">
        <f>IF(I$74&lt;=0,"",Thresholds!I74/Thresholds!I$75)</f>
        <v>0.48218096093884288</v>
      </c>
      <c r="X74" s="432">
        <f>IF(J$74&lt;=0,"",Thresholds!J74/Thresholds!J$75)</f>
        <v>0.47869906568163723</v>
      </c>
      <c r="Y74" s="432"/>
      <c r="Z74" s="432"/>
      <c r="AA74" s="432"/>
      <c r="AB74" s="432"/>
      <c r="AC74" s="432"/>
      <c r="AD74" s="430"/>
      <c r="AE74" s="430"/>
      <c r="AF74" s="430"/>
      <c r="AG74" s="430"/>
      <c r="AH74" s="430"/>
      <c r="AI74" s="430"/>
      <c r="AJ74" s="430"/>
      <c r="AK74" s="430"/>
      <c r="AL74" s="430"/>
    </row>
    <row r="75" spans="1:38" s="431" customFormat="1">
      <c r="A75" s="430"/>
      <c r="B75" s="430"/>
      <c r="C75" s="430"/>
      <c r="D75" s="430"/>
      <c r="E75" s="430">
        <f t="shared" ref="E75:J75" si="3">SUM(E71:E74)</f>
        <v>128.74328804200661</v>
      </c>
      <c r="F75" s="430">
        <f t="shared" si="3"/>
        <v>13539.027224939933</v>
      </c>
      <c r="G75" s="430">
        <f t="shared" si="3"/>
        <v>27602.349824639627</v>
      </c>
      <c r="H75" s="430">
        <f t="shared" si="3"/>
        <v>41518.568026836088</v>
      </c>
      <c r="I75" s="430">
        <f t="shared" si="3"/>
        <v>55306.662808815527</v>
      </c>
      <c r="J75" s="430">
        <f t="shared" si="3"/>
        <v>70209.451752514709</v>
      </c>
      <c r="K75" s="430"/>
      <c r="L75" s="430"/>
      <c r="M75" s="430"/>
      <c r="N75" s="430"/>
      <c r="O75" s="430"/>
      <c r="P75" s="430"/>
      <c r="Q75" s="430"/>
      <c r="R75" s="430"/>
      <c r="S75" s="430"/>
      <c r="T75" s="430"/>
      <c r="U75" s="430"/>
      <c r="V75" s="430"/>
      <c r="W75" s="430"/>
      <c r="X75" s="430"/>
      <c r="Y75" s="430"/>
      <c r="Z75" s="430"/>
      <c r="AA75" s="430"/>
      <c r="AB75" s="430"/>
      <c r="AC75" s="430"/>
      <c r="AD75" s="430"/>
      <c r="AE75" s="430"/>
      <c r="AF75" s="430"/>
      <c r="AG75" s="430"/>
      <c r="AH75" s="430"/>
      <c r="AI75" s="430"/>
      <c r="AJ75" s="430"/>
      <c r="AK75" s="430"/>
      <c r="AL75" s="430"/>
    </row>
    <row r="76" spans="1:38" s="433" customFormat="1">
      <c r="B76"/>
      <c r="C76"/>
      <c r="D76"/>
      <c r="E76"/>
      <c r="F76"/>
      <c r="G76"/>
      <c r="H76"/>
      <c r="I76"/>
      <c r="J76"/>
      <c r="K76"/>
      <c r="L76"/>
      <c r="M76"/>
      <c r="N76"/>
      <c r="O76"/>
      <c r="P76"/>
      <c r="Q76"/>
    </row>
  </sheetData>
  <sheetProtection algorithmName="SHA-512" hashValue="EDoEMJFo5npIW4nFx/lj0Bu5fsDQU3bmembyUSiV/lHaZl7R5aIFjeYsZL9c8hz2qf9hxgqYDZceSZS19pxNjg==" saltValue="8KRWj5863o0pUbUoRNACEg==" spinCount="100000" sheet="1" objects="1" scenarios="1"/>
  <mergeCells count="7">
    <mergeCell ref="A40:B40"/>
    <mergeCell ref="D33:K38"/>
    <mergeCell ref="A6:B6"/>
    <mergeCell ref="A12:B12"/>
    <mergeCell ref="A18:B18"/>
    <mergeCell ref="A23:B23"/>
    <mergeCell ref="A36:B36"/>
  </mergeCells>
  <conditionalFormatting sqref="A41:B47">
    <cfRule type="expression" dxfId="40" priority="4">
      <formula>$B41=""</formula>
    </cfRule>
  </conditionalFormatting>
  <conditionalFormatting sqref="E9:O13 E17:K21 E26:I30">
    <cfRule type="cellIs" dxfId="37" priority="6" stopIfTrue="1" operator="greaterThan">
      <formula>0</formula>
    </cfRule>
    <cfRule type="cellIs" dxfId="36" priority="7" stopIfTrue="1" operator="lessThan">
      <formula>0</formula>
    </cfRule>
    <cfRule type="containsText" dxfId="35" priority="8" stopIfTrue="1" operator="containsText" text="Uneconomic">
      <formula>NOT(ISERROR(SEARCH("Uneconomic",E9)))</formula>
    </cfRule>
  </conditionalFormatting>
  <dataValidations disablePrompts="1" count="2">
    <dataValidation type="decimal" allowBlank="1" showInputMessage="1" showErrorMessage="1" sqref="E3" xr:uid="{00000000-0002-0000-0900-000000000000}">
      <formula1>0</formula1>
      <formula2>10000</formula2>
    </dataValidation>
    <dataValidation type="decimal" allowBlank="1" showInputMessage="1" showErrorMessage="1" sqref="E2" xr:uid="{00000000-0002-0000-0900-000001000000}">
      <formula1>0</formula1>
      <formula2>1500</formula2>
    </dataValidation>
  </dataValidations>
  <hyperlinks>
    <hyperlink ref="C5" location="Guide" display="Guide" xr:uid="{00000000-0004-0000-0900-000000000000}"/>
    <hyperlink ref="C6" location="Input" display="Input" xr:uid="{00000000-0004-0000-0900-000001000000}"/>
  </hyperlinks>
  <pageMargins left="0.7" right="0.7" top="0.75" bottom="0.75" header="0.3" footer="0.3"/>
  <pageSetup paperSize="9" scale="48" orientation="landscape" horizontalDpi="300" r:id="rId1"/>
  <headerFooter>
    <oddFooter>&amp;LNova Scotia Exploration Economics Model&amp;Rwww.indeva.com</oddFooter>
  </headerFooter>
  <colBreaks count="1" manualBreakCount="1">
    <brk id="16" max="1048575" man="1"/>
  </colBreaks>
  <extLst>
    <ext xmlns:x14="http://schemas.microsoft.com/office/spreadsheetml/2009/9/main" uri="{78C0D931-6437-407d-A8EE-F0AAD7539E65}">
      <x14:conditionalFormattings>
        <x14:conditionalFormatting xmlns:xm="http://schemas.microsoft.com/office/excel/2006/main">
          <x14:cfRule type="expression" priority="75" id="{E941B075-D410-4A6C-A20D-AABA7F306BCD}">
            <xm:f>Input!$A$39=""</xm:f>
            <x14:dxf>
              <fill>
                <patternFill>
                  <bgColor theme="2"/>
                </patternFill>
              </fill>
              <border>
                <left/>
                <right/>
                <top style="thin">
                  <color auto="1"/>
                </top>
                <bottom/>
                <vertical/>
                <horizontal/>
              </border>
            </x14:dxf>
          </x14:cfRule>
          <xm:sqref>A40</xm:sqref>
        </x14:conditionalFormatting>
        <x14:conditionalFormatting xmlns:xm="http://schemas.microsoft.com/office/excel/2006/main">
          <x14:cfRule type="expression" priority="106" id="{1608DCCD-9AA2-44F8-98FD-5618FF79FF80}">
            <xm:f>Lists!$N46=Lists!P$54</xm:f>
            <x14:dxf>
              <fill>
                <patternFill>
                  <bgColor theme="2"/>
                </patternFill>
              </fill>
              <border>
                <left style="thin">
                  <color auto="1"/>
                </left>
                <right style="thin">
                  <color auto="1"/>
                </right>
                <top style="thin">
                  <color auto="1"/>
                </top>
                <bottom style="thin">
                  <color auto="1"/>
                </bottom>
                <vertical/>
                <horizontal/>
              </border>
            </x14:dxf>
          </x14:cfRule>
          <xm:sqref>A41:A46</xm:sqref>
        </x14:conditionalFormatting>
        <x14:conditionalFormatting xmlns:xm="http://schemas.microsoft.com/office/excel/2006/main">
          <x14:cfRule type="expression" priority="107" id="{1608DCCD-9AA2-44F8-98FD-5618FF79FF80}">
            <xm:f>Lists!$N53=Lists!P$54</xm:f>
            <x14:dxf>
              <fill>
                <patternFill>
                  <bgColor theme="2"/>
                </patternFill>
              </fill>
              <border>
                <left style="thin">
                  <color auto="1"/>
                </left>
                <right style="thin">
                  <color auto="1"/>
                </right>
                <top style="thin">
                  <color auto="1"/>
                </top>
                <bottom style="thin">
                  <color auto="1"/>
                </bottom>
                <vertical/>
                <horizontal/>
              </border>
            </x14:dxf>
          </x14:cfRule>
          <xm:sqref>A47</xm:sqref>
        </x14:conditionalFormatting>
        <x14:conditionalFormatting xmlns:xm="http://schemas.microsoft.com/office/excel/2006/main">
          <x14:cfRule type="expression" priority="108" id="{99715588-AA7C-4684-AD35-DE525DFCA8AD}">
            <xm:f>Lists!$N46=Lists!P$54</xm:f>
            <x14:dxf>
              <fill>
                <patternFill>
                  <bgColor theme="2"/>
                </patternFill>
              </fill>
              <border>
                <left style="thin">
                  <color auto="1"/>
                </left>
                <right style="thin">
                  <color auto="1"/>
                </right>
                <top style="thin">
                  <color auto="1"/>
                </top>
                <bottom style="thin">
                  <color auto="1"/>
                </bottom>
                <vertical/>
                <horizontal/>
              </border>
            </x14:dxf>
          </x14:cfRule>
          <xm:sqref>B41:B46</xm:sqref>
        </x14:conditionalFormatting>
        <x14:conditionalFormatting xmlns:xm="http://schemas.microsoft.com/office/excel/2006/main">
          <x14:cfRule type="expression" priority="109" id="{99715588-AA7C-4684-AD35-DE525DFCA8AD}">
            <xm:f>Lists!$N53=Lists!P$54</xm:f>
            <x14:dxf>
              <fill>
                <patternFill>
                  <bgColor theme="2"/>
                </patternFill>
              </fill>
              <border>
                <left style="thin">
                  <color auto="1"/>
                </left>
                <right style="thin">
                  <color auto="1"/>
                </right>
                <top style="thin">
                  <color auto="1"/>
                </top>
                <bottom style="thin">
                  <color auto="1"/>
                </bottom>
                <vertical/>
                <horizontal/>
              </border>
            </x14:dxf>
          </x14:cfRule>
          <xm:sqref>B47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rgb="FFFF0000"/>
    <pageSetUpPr fitToPage="1"/>
  </sheetPr>
  <dimension ref="A1:AM168"/>
  <sheetViews>
    <sheetView showGridLines="0" showRowColHeaders="0" zoomScale="70" zoomScaleNormal="70" workbookViewId="0">
      <pane xSplit="3" ySplit="2" topLeftCell="D11" activePane="bottomRight" state="frozen"/>
      <selection activeCell="D43" sqref="D43"/>
      <selection pane="topRight" activeCell="D43" sqref="D43"/>
      <selection pane="bottomLeft" activeCell="D43" sqref="D43"/>
      <selection pane="bottomRight"/>
    </sheetView>
  </sheetViews>
  <sheetFormatPr defaultRowHeight="15"/>
  <cols>
    <col min="1" max="1" width="29.42578125" customWidth="1"/>
    <col min="2" max="2" width="17.28515625" customWidth="1"/>
    <col min="3" max="3" width="19.85546875" customWidth="1"/>
    <col min="4" max="4" width="18.85546875" customWidth="1"/>
    <col min="5" max="5" width="9.140625" customWidth="1"/>
    <col min="6" max="6" width="8.42578125" customWidth="1"/>
    <col min="7" max="7" width="27.42578125" customWidth="1"/>
    <col min="8" max="8" width="12.42578125" hidden="1" customWidth="1"/>
    <col min="9" max="9" width="12" customWidth="1"/>
    <col min="26" max="26" width="9.42578125" bestFit="1" customWidth="1"/>
    <col min="27" max="27" width="9.28515625" bestFit="1" customWidth="1"/>
  </cols>
  <sheetData>
    <row r="1" spans="1:39" ht="23.25">
      <c r="A1" s="298" t="str">
        <f>Thresholds!A5</f>
        <v>Prospect X</v>
      </c>
      <c r="B1" s="14"/>
      <c r="C1" s="14"/>
      <c r="D1" s="93" t="s">
        <v>756</v>
      </c>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83"/>
    </row>
    <row r="2" spans="1:39" ht="24" customHeight="1">
      <c r="A2" s="299" t="s">
        <v>0</v>
      </c>
      <c r="B2" s="300" t="s">
        <v>115</v>
      </c>
      <c r="C2" s="300" t="s">
        <v>116</v>
      </c>
      <c r="D2" s="93" t="s">
        <v>139</v>
      </c>
      <c r="E2" s="14"/>
      <c r="F2" s="14"/>
      <c r="G2" s="14"/>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83"/>
    </row>
    <row r="3" spans="1:39" ht="15.75">
      <c r="A3" s="235" t="s">
        <v>110</v>
      </c>
      <c r="B3" s="13">
        <v>-0.2</v>
      </c>
      <c r="C3" s="13">
        <v>0.4</v>
      </c>
      <c r="D3" s="301"/>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83"/>
    </row>
    <row r="4" spans="1:39" ht="15.75">
      <c r="A4" s="235" t="s">
        <v>746</v>
      </c>
      <c r="B4" s="13">
        <v>-0.3</v>
      </c>
      <c r="C4" s="13">
        <v>0.3</v>
      </c>
      <c r="D4" s="301"/>
      <c r="E4" s="14"/>
      <c r="F4" s="14"/>
      <c r="G4" s="14"/>
      <c r="H4" s="14"/>
      <c r="I4" s="14"/>
      <c r="J4" s="14"/>
      <c r="K4" s="14"/>
      <c r="L4" s="14"/>
      <c r="M4" s="14"/>
      <c r="N4" s="14"/>
      <c r="O4" s="14"/>
      <c r="P4" s="14"/>
      <c r="Q4" s="14"/>
      <c r="R4" s="14"/>
      <c r="S4" s="14"/>
      <c r="T4" s="14"/>
      <c r="U4" s="14"/>
      <c r="V4" s="14"/>
      <c r="W4" s="14"/>
      <c r="X4" s="14"/>
      <c r="Y4" s="14"/>
      <c r="Z4" s="14"/>
      <c r="AA4" s="14"/>
      <c r="AB4" s="14"/>
      <c r="AC4" s="14"/>
      <c r="AD4" s="14"/>
      <c r="AE4" s="14"/>
      <c r="AF4" s="14"/>
      <c r="AG4" s="14"/>
      <c r="AH4" s="14"/>
      <c r="AI4" s="14"/>
      <c r="AJ4" s="14"/>
      <c r="AK4" s="14"/>
      <c r="AL4" s="14"/>
      <c r="AM4" s="83"/>
    </row>
    <row r="5" spans="1:39" ht="15.75">
      <c r="A5" s="235" t="s">
        <v>117</v>
      </c>
      <c r="B5" s="13">
        <v>-0.3</v>
      </c>
      <c r="C5" s="13">
        <v>0.3</v>
      </c>
      <c r="D5" s="301"/>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83"/>
    </row>
    <row r="6" spans="1:39" ht="15.75">
      <c r="A6" s="235" t="s">
        <v>118</v>
      </c>
      <c r="B6" s="13">
        <v>-0.25</v>
      </c>
      <c r="C6" s="13">
        <v>0.3</v>
      </c>
      <c r="D6" s="301"/>
      <c r="E6" s="14"/>
      <c r="F6" s="14"/>
      <c r="G6" s="14"/>
      <c r="H6" s="14"/>
      <c r="I6" s="14"/>
      <c r="J6" s="14"/>
      <c r="K6" s="14"/>
      <c r="L6" s="14"/>
      <c r="M6" s="14"/>
      <c r="N6" s="14"/>
      <c r="O6" s="14"/>
      <c r="P6" s="14"/>
      <c r="Q6" s="14"/>
      <c r="R6" s="14"/>
      <c r="S6" s="14"/>
      <c r="T6" s="14"/>
      <c r="U6" s="14"/>
      <c r="V6" s="14"/>
      <c r="W6" s="14"/>
      <c r="X6" s="14"/>
      <c r="Y6" s="14"/>
      <c r="Z6" s="14"/>
      <c r="AA6" s="14"/>
      <c r="AB6" s="14"/>
      <c r="AC6" s="14"/>
      <c r="AD6" s="14"/>
      <c r="AE6" s="14"/>
      <c r="AF6" s="14"/>
      <c r="AG6" s="14"/>
      <c r="AH6" s="14"/>
      <c r="AI6" s="14"/>
      <c r="AJ6" s="14"/>
      <c r="AK6" s="14"/>
      <c r="AL6" s="14"/>
      <c r="AM6" s="83"/>
    </row>
    <row r="7" spans="1:39" ht="15.75">
      <c r="A7" s="235" t="s">
        <v>119</v>
      </c>
      <c r="B7" s="13">
        <v>-0.25</v>
      </c>
      <c r="C7" s="13">
        <v>0.3</v>
      </c>
      <c r="D7" s="301"/>
      <c r="E7" s="14"/>
      <c r="F7" s="14"/>
      <c r="G7" s="14"/>
      <c r="H7" s="14"/>
      <c r="I7" s="14"/>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83"/>
    </row>
    <row r="8" spans="1:39" ht="15.75">
      <c r="A8" s="235" t="s">
        <v>120</v>
      </c>
      <c r="B8" s="13">
        <v>-0.5</v>
      </c>
      <c r="C8" s="13">
        <v>0.5</v>
      </c>
      <c r="D8" s="301"/>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83"/>
    </row>
    <row r="9" spans="1:39" ht="15.75">
      <c r="A9" s="235" t="s">
        <v>121</v>
      </c>
      <c r="B9" s="13">
        <v>-0.2</v>
      </c>
      <c r="C9" s="13">
        <v>0.3</v>
      </c>
      <c r="D9" s="301"/>
      <c r="E9" s="14"/>
      <c r="F9" s="14"/>
      <c r="G9" s="14"/>
      <c r="H9" s="14"/>
      <c r="I9" s="14"/>
      <c r="J9" s="14"/>
      <c r="K9" s="14"/>
      <c r="L9" s="14"/>
      <c r="M9" s="14"/>
      <c r="N9" s="14"/>
      <c r="O9" s="14"/>
      <c r="P9" s="14"/>
      <c r="Q9" s="14"/>
      <c r="R9" s="14"/>
      <c r="S9" s="14"/>
      <c r="T9" s="14"/>
      <c r="U9" s="14"/>
      <c r="V9" s="14"/>
      <c r="W9" s="14"/>
      <c r="X9" s="14"/>
      <c r="Y9" s="14"/>
      <c r="Z9" s="14"/>
      <c r="AA9" s="14"/>
      <c r="AB9" s="14"/>
      <c r="AC9" s="14"/>
      <c r="AD9" s="14"/>
      <c r="AE9" s="14"/>
      <c r="AF9" s="14"/>
      <c r="AG9" s="14"/>
      <c r="AH9" s="14"/>
      <c r="AI9" s="14"/>
      <c r="AJ9" s="14"/>
      <c r="AK9" s="14"/>
      <c r="AL9" s="14"/>
      <c r="AM9" s="83"/>
    </row>
    <row r="10" spans="1:39" ht="18.75">
      <c r="A10" s="453" t="s">
        <v>122</v>
      </c>
      <c r="B10" s="453"/>
      <c r="C10" s="452"/>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83"/>
    </row>
    <row r="11" spans="1:39" ht="14.25" customHeight="1">
      <c r="A11" s="235" t="str">
        <f>Thresholds!A7</f>
        <v>Discount Rate</v>
      </c>
      <c r="B11" s="612" t="str">
        <f>Thresholds!B7</f>
        <v>10% Nominal</v>
      </c>
      <c r="C11" s="613"/>
      <c r="D11" s="302"/>
      <c r="E11" s="14"/>
      <c r="F11" s="14"/>
      <c r="G11" s="303"/>
      <c r="H11" s="304"/>
      <c r="I11" s="14"/>
      <c r="J11" s="14"/>
      <c r="K11" s="14"/>
      <c r="L11" s="14"/>
      <c r="M11" s="14"/>
      <c r="N11" s="14"/>
      <c r="O11" s="14"/>
      <c r="P11" s="14"/>
      <c r="Q11" s="14"/>
      <c r="R11" s="14"/>
      <c r="S11" s="14"/>
      <c r="T11" s="14"/>
      <c r="U11" s="14"/>
      <c r="V11" s="14"/>
      <c r="W11" s="14"/>
      <c r="X11" s="14"/>
      <c r="Y11" s="14"/>
      <c r="Z11" s="14"/>
      <c r="AA11" s="14"/>
      <c r="AB11" s="14"/>
      <c r="AC11" s="14"/>
      <c r="AD11" s="14"/>
      <c r="AE11" s="14"/>
      <c r="AF11" s="14"/>
      <c r="AG11" s="14"/>
      <c r="AH11" s="14"/>
      <c r="AI11" s="14"/>
      <c r="AJ11" s="14"/>
      <c r="AK11" s="14"/>
      <c r="AL11" s="14"/>
      <c r="AM11" s="83"/>
    </row>
    <row r="12" spans="1:39" ht="15.75">
      <c r="A12" s="235" t="str">
        <f>Thresholds!A8</f>
        <v>Discount To</v>
      </c>
      <c r="B12" s="614">
        <f ca="1">Thresholds!B8</f>
        <v>46023</v>
      </c>
      <c r="C12" s="615"/>
      <c r="D12" s="305"/>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c r="AE12" s="14"/>
      <c r="AF12" s="14"/>
      <c r="AG12" s="14"/>
      <c r="AH12" s="14"/>
      <c r="AI12" s="14"/>
      <c r="AJ12" s="14"/>
      <c r="AK12" s="14"/>
      <c r="AL12" s="14"/>
      <c r="AM12" s="83"/>
    </row>
    <row r="13" spans="1:39" ht="15.75">
      <c r="A13" s="235" t="str">
        <f>Thresholds!A9</f>
        <v>Economic Scenario</v>
      </c>
      <c r="B13" s="607" t="str">
        <f>Thresholds!B9</f>
        <v>Base</v>
      </c>
      <c r="C13" s="608"/>
      <c r="D13" s="286"/>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c r="AE13" s="14"/>
      <c r="AF13" s="14"/>
      <c r="AG13" s="14"/>
      <c r="AH13" s="14"/>
      <c r="AI13" s="14"/>
      <c r="AJ13" s="14"/>
      <c r="AK13" s="14"/>
      <c r="AL13" s="14"/>
      <c r="AM13" s="83"/>
    </row>
    <row r="14" spans="1:39" ht="15.75">
      <c r="A14" s="235" t="str">
        <f>Thresholds!A10</f>
        <v>Cost Set</v>
      </c>
      <c r="B14" s="607" t="str">
        <f>Thresholds!B10</f>
        <v>NS NRR</v>
      </c>
      <c r="C14" s="608"/>
      <c r="D14" s="286"/>
      <c r="E14" s="14"/>
      <c r="F14" s="14"/>
      <c r="G14" s="14"/>
      <c r="H14" s="14"/>
      <c r="I14" s="14"/>
      <c r="J14" s="14"/>
      <c r="K14" s="14"/>
      <c r="L14" s="14"/>
      <c r="M14" s="14"/>
      <c r="N14" s="14"/>
      <c r="O14" s="14"/>
      <c r="P14" s="14"/>
      <c r="Q14" s="14"/>
      <c r="R14" s="14"/>
      <c r="S14" s="14"/>
      <c r="T14" s="14"/>
      <c r="U14" s="14"/>
      <c r="V14" s="14"/>
      <c r="W14" s="14"/>
      <c r="X14" s="14"/>
      <c r="Y14" s="14"/>
      <c r="Z14" s="14"/>
      <c r="AA14" s="14"/>
      <c r="AB14" s="14"/>
      <c r="AC14" s="14"/>
      <c r="AD14" s="14"/>
      <c r="AE14" s="14"/>
      <c r="AF14" s="14"/>
      <c r="AG14" s="14"/>
      <c r="AH14" s="14"/>
      <c r="AI14" s="14"/>
      <c r="AJ14" s="14"/>
      <c r="AK14" s="14"/>
      <c r="AL14" s="14"/>
      <c r="AM14" s="83"/>
    </row>
    <row r="15" spans="1:39" ht="15.75">
      <c r="A15" s="235" t="str">
        <f>Thresholds!A11</f>
        <v>Owner Share</v>
      </c>
      <c r="B15" s="616">
        <f>Thresholds!B11</f>
        <v>1</v>
      </c>
      <c r="C15" s="617"/>
      <c r="D15" s="286"/>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c r="AE15" s="14"/>
      <c r="AF15" s="14"/>
      <c r="AG15" s="14"/>
      <c r="AH15" s="14"/>
      <c r="AI15" s="14"/>
      <c r="AJ15" s="14"/>
      <c r="AK15" s="14"/>
      <c r="AL15" s="14"/>
      <c r="AM15" s="83"/>
    </row>
    <row r="16" spans="1:39" ht="18.75">
      <c r="A16" s="451" t="str">
        <f>Thresholds!A12</f>
        <v>Project Parameters</v>
      </c>
      <c r="B16" s="453"/>
      <c r="C16" s="452"/>
      <c r="D16" s="305"/>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c r="AE16" s="14"/>
      <c r="AF16" s="14"/>
      <c r="AG16" s="14"/>
      <c r="AH16" s="14"/>
      <c r="AI16" s="14"/>
      <c r="AJ16" s="14"/>
      <c r="AK16" s="14"/>
      <c r="AL16" s="14"/>
      <c r="AM16" s="83"/>
    </row>
    <row r="17" spans="1:39" ht="15.75">
      <c r="A17" s="235" t="str">
        <f>Thresholds!A13</f>
        <v>Start Date</v>
      </c>
      <c r="B17" s="614">
        <f>Thresholds!B13</f>
        <v>45200</v>
      </c>
      <c r="C17" s="615"/>
      <c r="D17" s="305"/>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c r="AE17" s="14"/>
      <c r="AF17" s="14"/>
      <c r="AG17" s="14"/>
      <c r="AH17" s="14"/>
      <c r="AI17" s="14"/>
      <c r="AJ17" s="14"/>
      <c r="AK17" s="14"/>
      <c r="AL17" s="14"/>
      <c r="AM17" s="83"/>
    </row>
    <row r="18" spans="1:39" ht="15.75">
      <c r="A18" s="235" t="s">
        <v>123</v>
      </c>
      <c r="B18" s="614" t="str">
        <f>Input!B11</f>
        <v>Seismic</v>
      </c>
      <c r="C18" s="615"/>
      <c r="D18" s="306"/>
      <c r="E18" s="14"/>
      <c r="F18" s="14"/>
      <c r="G18" s="14"/>
      <c r="H18" s="14"/>
      <c r="I18" s="14"/>
      <c r="J18" s="14"/>
      <c r="K18" s="14"/>
      <c r="L18" s="14"/>
      <c r="M18" s="14"/>
      <c r="N18" s="14"/>
      <c r="O18" s="14"/>
      <c r="P18" s="14"/>
      <c r="Q18" s="14"/>
      <c r="R18" s="14"/>
      <c r="S18" s="14"/>
      <c r="T18" s="14"/>
      <c r="U18" s="14"/>
      <c r="V18" s="14"/>
      <c r="W18" s="14"/>
      <c r="X18" s="14"/>
      <c r="Y18" s="14"/>
      <c r="Z18" s="14"/>
      <c r="AA18" s="14"/>
      <c r="AB18" s="14"/>
      <c r="AC18" s="14"/>
      <c r="AD18" s="14"/>
      <c r="AE18" s="14"/>
      <c r="AF18" s="14"/>
      <c r="AG18" s="14"/>
      <c r="AH18" s="14"/>
      <c r="AI18" s="14"/>
      <c r="AJ18" s="14"/>
      <c r="AK18" s="14"/>
      <c r="AL18" s="14"/>
      <c r="AM18" s="14"/>
    </row>
    <row r="19" spans="1:39" ht="15.75">
      <c r="A19" s="235" t="str">
        <f>Thresholds!A14</f>
        <v>Development Method</v>
      </c>
      <c r="B19" s="618" t="str">
        <f>Thresholds!B14</f>
        <v>FPSO</v>
      </c>
      <c r="C19" s="619"/>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row>
    <row r="20" spans="1:39" ht="15.75">
      <c r="A20" s="235" t="str">
        <f>Thresholds!A15</f>
        <v>Gas Disposal</v>
      </c>
      <c r="B20" s="618" t="str">
        <f>Thresholds!B15</f>
        <v>To Infrastructure</v>
      </c>
      <c r="C20" s="619"/>
      <c r="D20" s="307"/>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row>
    <row r="21" spans="1:39" ht="15.75">
      <c r="A21" s="235" t="str">
        <f>Thresholds!A16</f>
        <v>Gas Export Distance (km)</v>
      </c>
      <c r="B21" s="620">
        <f>Thresholds!B16</f>
        <v>250</v>
      </c>
      <c r="C21" s="621"/>
      <c r="D21" s="286"/>
      <c r="E21" s="14"/>
      <c r="F21" s="14"/>
      <c r="G21" s="14"/>
      <c r="H21" s="14"/>
      <c r="I21" s="14"/>
      <c r="J21" s="14"/>
      <c r="K21" s="14"/>
      <c r="L21" s="14"/>
      <c r="M21" s="14"/>
      <c r="N21" s="14"/>
      <c r="O21" s="14"/>
      <c r="P21" s="14"/>
      <c r="Q21" s="14"/>
      <c r="R21" s="14"/>
      <c r="S21" s="14"/>
      <c r="T21" s="14"/>
      <c r="U21" s="14"/>
      <c r="V21" s="14"/>
      <c r="W21" s="14"/>
      <c r="X21" s="14"/>
      <c r="Y21" s="14"/>
      <c r="Z21" s="14"/>
      <c r="AA21" s="14"/>
      <c r="AB21" s="14"/>
      <c r="AC21" s="14"/>
      <c r="AD21" s="14"/>
      <c r="AE21" s="14"/>
      <c r="AF21" s="14"/>
      <c r="AG21" s="14"/>
      <c r="AH21" s="14"/>
      <c r="AI21" s="14"/>
      <c r="AJ21" s="14"/>
      <c r="AK21" s="14"/>
      <c r="AL21" s="14"/>
      <c r="AM21" s="14"/>
    </row>
    <row r="22" spans="1:39" ht="15.75">
      <c r="A22" s="235" t="str">
        <f>Thresholds!A17</f>
        <v>Pipeline Percent Deepwater</v>
      </c>
      <c r="B22" s="612">
        <f>Thresholds!B17</f>
        <v>0.3</v>
      </c>
      <c r="C22" s="613"/>
      <c r="D22" s="302"/>
      <c r="E22" s="14"/>
      <c r="F22" s="14"/>
      <c r="G22" s="14"/>
      <c r="H22" s="14"/>
      <c r="I22" s="14"/>
      <c r="J22" s="14"/>
      <c r="K22" s="14"/>
      <c r="L22" s="14"/>
      <c r="M22" s="14"/>
      <c r="N22" s="14"/>
      <c r="O22" s="14"/>
      <c r="P22" s="14"/>
      <c r="Q22" s="14"/>
      <c r="R22" s="14"/>
      <c r="S22" s="14"/>
      <c r="T22" s="14"/>
      <c r="U22" s="14"/>
      <c r="V22" s="14"/>
      <c r="W22" s="14"/>
      <c r="X22" s="14"/>
      <c r="Y22" s="14"/>
      <c r="Z22" s="14"/>
      <c r="AA22" s="14"/>
      <c r="AB22" s="14"/>
      <c r="AC22" s="14"/>
      <c r="AD22" s="14"/>
      <c r="AE22" s="14"/>
      <c r="AF22" s="14"/>
      <c r="AG22" s="14"/>
      <c r="AH22" s="14"/>
      <c r="AI22" s="14"/>
      <c r="AJ22" s="14"/>
      <c r="AK22" s="14"/>
      <c r="AL22" s="14"/>
      <c r="AM22" s="83"/>
    </row>
    <row r="23" spans="1:39" ht="18.75">
      <c r="A23" s="451" t="str">
        <f>Thresholds!A18</f>
        <v>Risk Parameters</v>
      </c>
      <c r="B23" s="453"/>
      <c r="C23" s="452"/>
      <c r="D23" s="302"/>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83"/>
    </row>
    <row r="24" spans="1:39" ht="15.75">
      <c r="A24" s="235" t="str">
        <f>Thresholds!A19</f>
        <v>Seismic</v>
      </c>
      <c r="B24" s="612">
        <f>Thresholds!B19</f>
        <v>1</v>
      </c>
      <c r="C24" s="613"/>
      <c r="D24" s="302"/>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83"/>
    </row>
    <row r="25" spans="1:39" ht="15.75">
      <c r="A25" s="235" t="str">
        <f>Thresholds!A20</f>
        <v>Wildcat</v>
      </c>
      <c r="B25" s="612">
        <f>Thresholds!B20</f>
        <v>1</v>
      </c>
      <c r="C25" s="613"/>
      <c r="D25" s="302"/>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83"/>
    </row>
    <row r="26" spans="1:39" ht="15.75">
      <c r="A26" s="235" t="str">
        <f>Thresholds!A21</f>
        <v>Appraisal</v>
      </c>
      <c r="B26" s="612">
        <f>Thresholds!B21</f>
        <v>1</v>
      </c>
      <c r="C26" s="613"/>
      <c r="D26" s="286"/>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83"/>
    </row>
    <row r="27" spans="1:39" ht="15.75">
      <c r="A27" s="235" t="str">
        <f>Thresholds!A22</f>
        <v>Development Planning</v>
      </c>
      <c r="B27" s="612">
        <f>Thresholds!B22</f>
        <v>1</v>
      </c>
      <c r="C27" s="613"/>
      <c r="D27" s="286"/>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83"/>
    </row>
    <row r="28" spans="1:39" ht="18.75">
      <c r="A28" s="451" t="str">
        <f>Thresholds!A23</f>
        <v>Technical Parameters</v>
      </c>
      <c r="B28" s="453"/>
      <c r="C28" s="452"/>
      <c r="D28" s="286"/>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83"/>
    </row>
    <row r="29" spans="1:39" ht="15.75">
      <c r="A29" s="235" t="str">
        <f>Thresholds!A24</f>
        <v>Product Type</v>
      </c>
      <c r="B29" s="607" t="str">
        <f>Thresholds!B24</f>
        <v>Oil</v>
      </c>
      <c r="C29" s="608"/>
      <c r="D29" s="286"/>
      <c r="E29" s="14"/>
      <c r="F29" s="14"/>
      <c r="G29" s="14"/>
      <c r="H29" s="14"/>
      <c r="I29" s="14"/>
      <c r="J29" s="14"/>
      <c r="K29" s="14"/>
      <c r="L29" s="14"/>
      <c r="M29" s="14"/>
      <c r="N29" s="14"/>
      <c r="O29" s="14"/>
      <c r="P29" s="14"/>
      <c r="Q29" s="14"/>
      <c r="R29" s="14"/>
      <c r="S29" s="14"/>
      <c r="T29" s="14"/>
      <c r="U29" s="14"/>
      <c r="V29" s="14"/>
      <c r="W29" s="14"/>
      <c r="X29" s="14"/>
      <c r="Y29" s="14"/>
      <c r="Z29" s="14"/>
      <c r="AA29" s="14"/>
      <c r="AB29" s="14"/>
      <c r="AC29" s="14"/>
      <c r="AD29" s="14"/>
      <c r="AE29" s="14"/>
      <c r="AF29" s="14"/>
      <c r="AG29" s="14"/>
      <c r="AH29" s="14"/>
      <c r="AI29" s="14"/>
      <c r="AJ29" s="14"/>
      <c r="AK29" s="14"/>
      <c r="AL29" s="14"/>
      <c r="AM29" s="83"/>
    </row>
    <row r="30" spans="1:39" ht="15.75">
      <c r="A30" s="235" t="str">
        <f>Thresholds!A26</f>
        <v>Mean Reserves (mmbbl)</v>
      </c>
      <c r="B30" s="607">
        <f>Thresholds!B26</f>
        <v>290</v>
      </c>
      <c r="C30" s="608"/>
      <c r="D30" s="286"/>
      <c r="E30" s="14"/>
      <c r="F30" s="14"/>
      <c r="G30" s="14"/>
      <c r="H30" s="14"/>
      <c r="I30" s="14"/>
      <c r="J30" s="14"/>
      <c r="K30" s="14"/>
      <c r="L30" s="14"/>
      <c r="M30" s="14"/>
      <c r="N30" s="14"/>
      <c r="O30" s="14"/>
      <c r="P30" s="14"/>
      <c r="Q30" s="14"/>
      <c r="R30" s="14"/>
      <c r="S30" s="14"/>
      <c r="T30" s="14"/>
      <c r="U30" s="14"/>
      <c r="V30" s="14"/>
      <c r="W30" s="14"/>
      <c r="X30" s="14"/>
      <c r="Y30" s="14"/>
      <c r="Z30" s="14"/>
      <c r="AA30" s="14"/>
      <c r="AB30" s="14"/>
      <c r="AC30" s="14"/>
      <c r="AD30" s="14"/>
      <c r="AE30" s="14"/>
      <c r="AF30" s="14"/>
      <c r="AG30" s="14"/>
      <c r="AH30" s="14"/>
      <c r="AI30" s="14"/>
      <c r="AJ30" s="14"/>
      <c r="AK30" s="14"/>
      <c r="AL30" s="14"/>
      <c r="AM30" s="83"/>
    </row>
    <row r="31" spans="1:39" ht="15.75">
      <c r="A31" s="235" t="str">
        <f>Thresholds!A27</f>
        <v>Reservoir Depth (m MSL)</v>
      </c>
      <c r="B31" s="607">
        <f>Thresholds!B27</f>
        <v>5000</v>
      </c>
      <c r="C31" s="608"/>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14"/>
      <c r="AD31" s="14"/>
      <c r="AE31" s="14"/>
      <c r="AF31" s="14"/>
      <c r="AG31" s="14"/>
      <c r="AH31" s="14"/>
      <c r="AI31" s="14"/>
      <c r="AJ31" s="14"/>
      <c r="AK31" s="14"/>
      <c r="AL31" s="14"/>
      <c r="AM31" s="83"/>
    </row>
    <row r="32" spans="1:39" ht="15.75">
      <c r="A32" s="235" t="str">
        <f>Thresholds!A29</f>
        <v>Reservoir Complexity</v>
      </c>
      <c r="B32" s="607" t="str">
        <f>Thresholds!B29</f>
        <v>Low</v>
      </c>
      <c r="C32" s="608"/>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14"/>
      <c r="AD32" s="14"/>
      <c r="AE32" s="14"/>
      <c r="AF32" s="14"/>
      <c r="AG32" s="14"/>
      <c r="AH32" s="14"/>
      <c r="AI32" s="14"/>
      <c r="AJ32" s="14"/>
      <c r="AK32" s="14"/>
      <c r="AL32" s="14"/>
      <c r="AM32" s="83"/>
    </row>
    <row r="33" spans="1:39" ht="15.75">
      <c r="A33" s="235" t="str">
        <f>Thresholds!A30</f>
        <v xml:space="preserve">Areal Extent Factor </v>
      </c>
      <c r="B33" s="607" t="str">
        <f>Thresholds!B30</f>
        <v>Medium</v>
      </c>
      <c r="C33" s="608"/>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14"/>
      <c r="AD33" s="14"/>
      <c r="AE33" s="14"/>
      <c r="AF33" s="14"/>
      <c r="AG33" s="14"/>
      <c r="AH33" s="14"/>
      <c r="AI33" s="14"/>
      <c r="AJ33" s="14"/>
      <c r="AK33" s="14"/>
      <c r="AL33" s="14"/>
      <c r="AM33" s="83"/>
    </row>
    <row r="34" spans="1:39" ht="15.75">
      <c r="A34" s="235" t="str">
        <f>Thresholds!A31</f>
        <v>Reservoir Pressure</v>
      </c>
      <c r="B34" s="607" t="str">
        <f>Thresholds!B31</f>
        <v>Normally Pressured</v>
      </c>
      <c r="C34" s="608"/>
      <c r="D34" s="14"/>
      <c r="E34" s="14"/>
      <c r="F34" s="14"/>
      <c r="G34" s="14"/>
      <c r="H34" s="14"/>
      <c r="I34" s="14"/>
      <c r="J34" s="14"/>
      <c r="K34" s="14"/>
      <c r="L34" s="14"/>
      <c r="M34" s="14"/>
      <c r="N34" s="14"/>
      <c r="O34" s="14"/>
      <c r="P34" s="14"/>
      <c r="Q34" s="14"/>
      <c r="R34" s="14"/>
      <c r="S34" s="14"/>
      <c r="T34" s="14"/>
      <c r="U34" s="14"/>
      <c r="V34" s="14"/>
      <c r="W34" s="14"/>
      <c r="X34" s="14"/>
      <c r="Y34" s="14"/>
      <c r="Z34" s="14"/>
      <c r="AA34" s="14"/>
      <c r="AB34" s="14"/>
      <c r="AC34" s="14"/>
      <c r="AD34" s="14"/>
      <c r="AE34" s="14"/>
      <c r="AF34" s="14"/>
      <c r="AG34" s="14"/>
      <c r="AH34" s="14"/>
      <c r="AI34" s="14"/>
      <c r="AJ34" s="14"/>
      <c r="AK34" s="14"/>
      <c r="AL34" s="14"/>
      <c r="AM34" s="83"/>
    </row>
    <row r="35" spans="1:39" ht="15.75">
      <c r="A35" s="235" t="str">
        <f>Thresholds!A32</f>
        <v>Gas Calorific Value (btu/scf)</v>
      </c>
      <c r="B35" s="607">
        <f>Thresholds!B32</f>
        <v>1040</v>
      </c>
      <c r="C35" s="608"/>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14"/>
      <c r="AD35" s="14"/>
      <c r="AE35" s="14"/>
      <c r="AF35" s="14"/>
      <c r="AG35" s="14"/>
      <c r="AH35" s="14"/>
      <c r="AI35" s="14"/>
      <c r="AJ35" s="14"/>
      <c r="AK35" s="14"/>
      <c r="AL35" s="14"/>
      <c r="AM35" s="83"/>
    </row>
    <row r="36" spans="1:39" ht="16.5" thickBot="1">
      <c r="A36" s="235" t="str">
        <f>Thresholds!A33</f>
        <v>Liquid Yield (bbl/mcf)</v>
      </c>
      <c r="B36" s="607">
        <f>Thresholds!B33</f>
        <v>3333.3</v>
      </c>
      <c r="C36" s="608"/>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14"/>
      <c r="AD36" s="14"/>
      <c r="AE36" s="14"/>
      <c r="AF36" s="14"/>
      <c r="AG36" s="14"/>
      <c r="AH36" s="14"/>
      <c r="AI36" s="14"/>
      <c r="AJ36" s="14"/>
      <c r="AK36" s="14"/>
      <c r="AL36" s="14"/>
      <c r="AM36" s="83"/>
    </row>
    <row r="37" spans="1:39" ht="15.75">
      <c r="A37" s="235" t="str">
        <f>Input!A33</f>
        <v>Gas Type</v>
      </c>
      <c r="B37" s="607" t="str">
        <f>Thresholds!B34</f>
        <v>Sweet</v>
      </c>
      <c r="C37" s="608"/>
      <c r="D37" s="14"/>
      <c r="E37" s="14"/>
      <c r="F37" s="609" t="s">
        <v>773</v>
      </c>
      <c r="G37" s="610"/>
      <c r="H37" s="610"/>
      <c r="I37" s="610"/>
      <c r="J37" s="610"/>
      <c r="K37" s="610"/>
      <c r="L37" s="610"/>
      <c r="M37" s="610"/>
      <c r="N37" s="610"/>
      <c r="O37" s="610"/>
      <c r="P37" s="610"/>
      <c r="Q37" s="610"/>
      <c r="R37" s="610"/>
      <c r="S37" s="610"/>
      <c r="T37" s="611"/>
      <c r="U37" s="14"/>
      <c r="V37" s="14"/>
      <c r="W37" s="14"/>
      <c r="X37" s="14"/>
      <c r="Y37" s="14"/>
      <c r="Z37" s="14"/>
      <c r="AA37" s="14"/>
      <c r="AB37" s="14"/>
      <c r="AC37" s="14"/>
      <c r="AD37" s="14"/>
      <c r="AE37" s="14"/>
      <c r="AF37" s="14"/>
      <c r="AG37" s="14"/>
      <c r="AH37" s="14"/>
      <c r="AI37" s="14"/>
      <c r="AJ37" s="14"/>
      <c r="AK37" s="14"/>
      <c r="AL37" s="14"/>
      <c r="AM37" s="83"/>
    </row>
    <row r="38" spans="1:39" ht="15.75">
      <c r="A38" s="235" t="str">
        <f>Thresholds!A35</f>
        <v>Water Depth (metres)</v>
      </c>
      <c r="B38" s="607">
        <f>Thresholds!B35</f>
        <v>3000</v>
      </c>
      <c r="C38" s="608"/>
      <c r="D38" s="14"/>
      <c r="E38" s="14"/>
      <c r="F38" s="601"/>
      <c r="G38" s="602"/>
      <c r="H38" s="602"/>
      <c r="I38" s="602"/>
      <c r="J38" s="602"/>
      <c r="K38" s="602"/>
      <c r="L38" s="602"/>
      <c r="M38" s="602"/>
      <c r="N38" s="602"/>
      <c r="O38" s="602"/>
      <c r="P38" s="602"/>
      <c r="Q38" s="602"/>
      <c r="R38" s="602"/>
      <c r="S38" s="602"/>
      <c r="T38" s="603"/>
      <c r="U38" s="14"/>
      <c r="V38" s="14"/>
      <c r="W38" s="14"/>
      <c r="X38" s="14"/>
      <c r="Y38" s="14"/>
      <c r="Z38" s="14"/>
      <c r="AA38" s="14"/>
      <c r="AB38" s="14"/>
      <c r="AC38" s="14"/>
      <c r="AD38" s="14"/>
      <c r="AE38" s="14"/>
      <c r="AF38" s="14"/>
      <c r="AG38" s="14"/>
      <c r="AH38" s="14"/>
      <c r="AI38" s="14"/>
      <c r="AJ38" s="14"/>
      <c r="AK38" s="14"/>
      <c r="AL38" s="14"/>
      <c r="AM38" s="83"/>
    </row>
    <row r="39" spans="1:39" ht="19.5" thickBot="1">
      <c r="A39" s="451" t="s">
        <v>102</v>
      </c>
      <c r="B39" s="453"/>
      <c r="C39" s="452"/>
      <c r="D39" s="14"/>
      <c r="E39" s="261"/>
      <c r="F39" s="604"/>
      <c r="G39" s="605"/>
      <c r="H39" s="605"/>
      <c r="I39" s="605"/>
      <c r="J39" s="605"/>
      <c r="K39" s="605"/>
      <c r="L39" s="605"/>
      <c r="M39" s="605"/>
      <c r="N39" s="605"/>
      <c r="O39" s="605"/>
      <c r="P39" s="605"/>
      <c r="Q39" s="605"/>
      <c r="R39" s="605"/>
      <c r="S39" s="605"/>
      <c r="T39" s="606"/>
      <c r="U39" s="14"/>
      <c r="V39" s="14"/>
      <c r="W39" s="14"/>
      <c r="X39" s="14"/>
      <c r="Y39" s="14"/>
      <c r="Z39" s="14"/>
      <c r="AA39" s="14"/>
      <c r="AB39" s="14"/>
      <c r="AC39" s="14"/>
      <c r="AD39" s="14"/>
      <c r="AE39" s="14"/>
      <c r="AF39" s="14"/>
      <c r="AG39" s="14"/>
      <c r="AH39" s="14"/>
      <c r="AI39" s="14"/>
      <c r="AJ39" s="14"/>
      <c r="AK39" s="14"/>
      <c r="AL39" s="14"/>
      <c r="AM39" s="83"/>
    </row>
    <row r="40" spans="1:39" ht="16.5" thickBot="1">
      <c r="A40" s="235" t="s">
        <v>103</v>
      </c>
      <c r="B40" s="607" t="str">
        <f>Input!B36</f>
        <v>No</v>
      </c>
      <c r="C40" s="608"/>
      <c r="D40" s="14"/>
      <c r="E40" s="14"/>
      <c r="F40" s="434" t="s">
        <v>1040</v>
      </c>
      <c r="G40" s="435"/>
      <c r="H40" s="435"/>
      <c r="I40" s="435"/>
      <c r="J40" s="435"/>
      <c r="K40" s="435"/>
      <c r="L40" s="435"/>
      <c r="M40" s="435"/>
      <c r="N40" s="435"/>
      <c r="O40" s="435"/>
      <c r="P40" s="435"/>
      <c r="Q40" s="435"/>
      <c r="R40" s="435"/>
      <c r="S40" s="435"/>
      <c r="T40" s="436"/>
      <c r="U40" s="14"/>
      <c r="V40" s="14"/>
      <c r="W40" s="14"/>
      <c r="X40" s="14"/>
      <c r="Y40" s="14"/>
      <c r="Z40" s="14"/>
      <c r="AA40" s="14"/>
      <c r="AB40" s="14"/>
      <c r="AC40" s="14"/>
      <c r="AD40" s="14"/>
      <c r="AE40" s="14"/>
      <c r="AF40" s="14"/>
      <c r="AG40" s="14"/>
      <c r="AH40" s="14"/>
      <c r="AI40" s="14"/>
      <c r="AJ40" s="14"/>
      <c r="AK40" s="14"/>
      <c r="AL40" s="14"/>
      <c r="AM40" s="83"/>
    </row>
    <row r="41" spans="1:39" ht="15.75">
      <c r="A41" s="235" t="s">
        <v>105</v>
      </c>
      <c r="B41" s="607" t="str">
        <f>Input!B37</f>
        <v>No</v>
      </c>
      <c r="C41" s="608"/>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83"/>
    </row>
    <row r="42" spans="1:39" ht="15.75">
      <c r="A42" s="235" t="s">
        <v>108</v>
      </c>
      <c r="B42" s="607" t="str">
        <f>Input!B38</f>
        <v>No</v>
      </c>
      <c r="C42" s="608"/>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83"/>
    </row>
    <row r="43" spans="1:39" ht="18.75">
      <c r="A43" s="451" t="str">
        <f>Input!A39</f>
        <v/>
      </c>
      <c r="B43" s="453"/>
      <c r="C43" s="456"/>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83"/>
    </row>
    <row r="44" spans="1:39">
      <c r="A44" s="220" t="str">
        <f>Lists!S46</f>
        <v/>
      </c>
      <c r="B44" s="220" t="str">
        <f>Lists!T46</f>
        <v/>
      </c>
      <c r="C44" s="19"/>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83"/>
    </row>
    <row r="45" spans="1:39">
      <c r="A45" s="220" t="str">
        <f>Lists!S47</f>
        <v/>
      </c>
      <c r="B45" s="220" t="str">
        <f>Lists!T47</f>
        <v/>
      </c>
      <c r="C45" s="19"/>
      <c r="D45" s="14"/>
      <c r="E45" s="14"/>
      <c r="F45" s="14"/>
      <c r="G45" s="14"/>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83"/>
    </row>
    <row r="46" spans="1:39">
      <c r="A46" s="220" t="str">
        <f>Lists!S48</f>
        <v/>
      </c>
      <c r="B46" s="220" t="str">
        <f>Lists!T48</f>
        <v/>
      </c>
      <c r="C46" s="19"/>
      <c r="D46" s="14"/>
      <c r="E46" s="14"/>
      <c r="F46" s="14"/>
      <c r="G46" s="14"/>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83"/>
    </row>
    <row r="47" spans="1:39">
      <c r="A47" s="220" t="str">
        <f>Lists!S49</f>
        <v/>
      </c>
      <c r="B47" s="220" t="str">
        <f>Lists!T49</f>
        <v/>
      </c>
      <c r="C47" s="19"/>
      <c r="D47" s="14"/>
      <c r="E47" s="14"/>
      <c r="F47" s="14"/>
      <c r="G47" s="14"/>
      <c r="H47" s="14"/>
      <c r="I47" s="14"/>
      <c r="J47" s="14"/>
      <c r="K47" s="14"/>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83"/>
    </row>
    <row r="48" spans="1:39">
      <c r="A48" s="220" t="str">
        <f>Lists!S50</f>
        <v/>
      </c>
      <c r="B48" s="220" t="str">
        <f>Lists!T50</f>
        <v/>
      </c>
      <c r="C48" s="19"/>
      <c r="D48" s="14"/>
      <c r="E48" s="14"/>
      <c r="F48" s="14"/>
      <c r="G48" s="14"/>
      <c r="H48" s="14"/>
      <c r="I48" s="14"/>
      <c r="J48" s="14"/>
      <c r="K48" s="14"/>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83"/>
    </row>
    <row r="49" spans="1:38" s="422" customFormat="1">
      <c r="A49" s="220" t="str">
        <f>Lists!S51</f>
        <v/>
      </c>
      <c r="B49" s="220" t="str">
        <f>Lists!T51</f>
        <v/>
      </c>
      <c r="C49" s="19"/>
      <c r="D49" s="428"/>
      <c r="E49" s="428"/>
      <c r="F49" s="428"/>
      <c r="G49" s="428"/>
      <c r="H49" s="428"/>
      <c r="I49" s="428"/>
      <c r="J49" s="428"/>
      <c r="K49" s="428"/>
      <c r="L49" s="428"/>
      <c r="M49" s="428"/>
      <c r="N49" s="428"/>
      <c r="O49" s="428"/>
      <c r="P49" s="428"/>
      <c r="Q49" s="428"/>
      <c r="R49" s="428"/>
      <c r="S49" s="428"/>
      <c r="T49" s="428"/>
      <c r="U49" s="428"/>
      <c r="V49" s="428"/>
      <c r="W49" s="428"/>
      <c r="X49" s="428"/>
      <c r="Y49" s="428"/>
      <c r="Z49" s="428"/>
      <c r="AA49" s="428"/>
      <c r="AB49" s="428"/>
      <c r="AC49" s="428"/>
      <c r="AD49" s="428"/>
      <c r="AE49" s="428"/>
      <c r="AF49" s="428"/>
      <c r="AG49" s="428"/>
      <c r="AH49" s="428"/>
      <c r="AI49" s="428"/>
      <c r="AJ49" s="428"/>
      <c r="AK49" s="428"/>
      <c r="AL49" s="428"/>
    </row>
    <row r="50" spans="1:38" s="422" customFormat="1">
      <c r="A50" s="497" t="str">
        <f>Lists!S52</f>
        <v/>
      </c>
      <c r="B50" s="498" t="str">
        <f>Lists!T52</f>
        <v/>
      </c>
      <c r="C50" s="457"/>
      <c r="D50" s="428"/>
      <c r="E50" s="428"/>
      <c r="F50" s="428"/>
      <c r="G50" s="428"/>
      <c r="H50" s="428"/>
      <c r="I50" s="428"/>
      <c r="J50" s="428"/>
      <c r="K50" s="428"/>
      <c r="L50" s="428"/>
      <c r="M50" s="428"/>
      <c r="N50" s="428"/>
      <c r="O50" s="428"/>
      <c r="P50" s="428"/>
      <c r="Q50" s="428"/>
      <c r="R50" s="428"/>
      <c r="S50" s="428"/>
      <c r="T50" s="428"/>
      <c r="U50" s="428"/>
      <c r="V50" s="428"/>
      <c r="W50" s="428"/>
      <c r="X50" s="428"/>
      <c r="Y50" s="428"/>
      <c r="Z50" s="428"/>
      <c r="AA50" s="428"/>
      <c r="AB50" s="428"/>
      <c r="AC50" s="428"/>
      <c r="AD50" s="428"/>
      <c r="AE50" s="428"/>
      <c r="AF50" s="428"/>
      <c r="AG50" s="428"/>
      <c r="AH50" s="428"/>
      <c r="AI50" s="428"/>
      <c r="AJ50" s="428"/>
      <c r="AK50" s="428"/>
      <c r="AL50" s="428"/>
    </row>
    <row r="51" spans="1:38" s="422" customFormat="1">
      <c r="A51" s="428"/>
      <c r="B51" s="428"/>
      <c r="C51" s="428"/>
      <c r="D51" s="428"/>
      <c r="E51" s="428"/>
      <c r="F51" s="428"/>
      <c r="G51" s="428"/>
      <c r="H51" s="428"/>
      <c r="I51" s="428"/>
      <c r="J51" s="428"/>
      <c r="K51" s="428"/>
      <c r="L51" s="428"/>
      <c r="M51" s="428"/>
      <c r="N51" s="428"/>
      <c r="O51" s="428"/>
      <c r="P51" s="428"/>
      <c r="Q51" s="428"/>
      <c r="R51" s="428"/>
      <c r="S51" s="428"/>
      <c r="T51" s="428"/>
      <c r="U51" s="428"/>
      <c r="V51" s="428"/>
      <c r="W51" s="428"/>
      <c r="X51" s="428"/>
      <c r="Y51" s="428"/>
      <c r="Z51" s="428"/>
      <c r="AA51" s="428"/>
      <c r="AB51" s="428"/>
      <c r="AC51" s="428"/>
      <c r="AD51" s="428"/>
      <c r="AE51" s="428"/>
      <c r="AF51" s="428"/>
      <c r="AG51" s="428"/>
      <c r="AH51" s="428"/>
      <c r="AI51" s="428"/>
      <c r="AJ51" s="428"/>
      <c r="AK51" s="428"/>
      <c r="AL51" s="428"/>
    </row>
    <row r="52" spans="1:38" s="422" customFormat="1">
      <c r="A52" s="428"/>
      <c r="B52" s="428"/>
      <c r="C52" s="428"/>
      <c r="D52" s="428"/>
      <c r="E52" s="428"/>
      <c r="F52" s="428"/>
      <c r="G52" s="428"/>
      <c r="H52" s="428"/>
      <c r="I52" s="428"/>
      <c r="J52" s="428"/>
      <c r="K52" s="428"/>
      <c r="L52" s="428"/>
      <c r="M52" s="428"/>
      <c r="N52" s="428"/>
      <c r="O52" s="428"/>
      <c r="P52" s="428"/>
      <c r="Q52" s="428"/>
      <c r="R52" s="428"/>
      <c r="S52" s="428"/>
      <c r="T52" s="428"/>
      <c r="U52" s="428"/>
      <c r="V52" s="428"/>
      <c r="W52" s="428"/>
      <c r="X52" s="428"/>
      <c r="Y52" s="428"/>
      <c r="Z52" s="428"/>
      <c r="AA52" s="428"/>
      <c r="AB52" s="428"/>
      <c r="AC52" s="428"/>
      <c r="AD52" s="428"/>
      <c r="AE52" s="428"/>
      <c r="AF52" s="428"/>
      <c r="AG52" s="428"/>
      <c r="AH52" s="428"/>
      <c r="AI52" s="428"/>
      <c r="AJ52" s="428"/>
      <c r="AK52" s="428"/>
      <c r="AL52" s="428"/>
    </row>
    <row r="53" spans="1:38" s="422" customFormat="1">
      <c r="A53" s="428"/>
      <c r="B53" s="428"/>
      <c r="C53" s="428"/>
      <c r="D53" s="428"/>
      <c r="E53" s="428"/>
      <c r="F53" s="428"/>
      <c r="G53" s="428"/>
      <c r="H53" s="428"/>
      <c r="I53" s="428"/>
      <c r="J53" s="428"/>
      <c r="K53" s="428"/>
      <c r="L53" s="428"/>
      <c r="M53" s="428"/>
      <c r="N53" s="428"/>
      <c r="O53" s="428"/>
      <c r="P53" s="428"/>
      <c r="Q53" s="428"/>
      <c r="R53" s="428"/>
      <c r="S53" s="428"/>
      <c r="T53" s="428"/>
      <c r="U53" s="428"/>
      <c r="V53" s="428"/>
      <c r="W53" s="428"/>
      <c r="X53" s="428"/>
      <c r="Y53" s="428"/>
      <c r="Z53" s="428"/>
      <c r="AA53" s="428"/>
      <c r="AB53" s="428"/>
      <c r="AC53" s="428"/>
      <c r="AD53" s="428"/>
      <c r="AE53" s="428"/>
      <c r="AF53" s="428"/>
      <c r="AG53" s="428"/>
      <c r="AH53" s="428"/>
      <c r="AI53" s="428"/>
      <c r="AJ53" s="428"/>
      <c r="AK53" s="428"/>
      <c r="AL53" s="428"/>
    </row>
    <row r="54" spans="1:38" s="422" customFormat="1">
      <c r="A54" s="428"/>
      <c r="B54" s="428"/>
      <c r="C54" s="428"/>
      <c r="D54" s="428"/>
      <c r="E54" s="428"/>
      <c r="F54" s="428"/>
      <c r="G54" s="428"/>
      <c r="H54" s="428"/>
      <c r="I54" s="428"/>
      <c r="J54" s="458"/>
      <c r="K54" s="458"/>
      <c r="L54" s="458"/>
      <c r="M54" s="458"/>
      <c r="N54" s="458"/>
      <c r="O54" s="458"/>
      <c r="P54" s="458"/>
      <c r="Q54" s="458"/>
      <c r="R54" s="458"/>
      <c r="S54" s="458"/>
      <c r="T54" s="458"/>
      <c r="U54" s="458"/>
      <c r="V54" s="458"/>
      <c r="W54" s="458"/>
      <c r="X54" s="458"/>
      <c r="Y54" s="458"/>
      <c r="Z54" s="458"/>
      <c r="AA54" s="458"/>
      <c r="AB54" s="458"/>
      <c r="AC54" s="458"/>
      <c r="AD54" s="458"/>
      <c r="AE54" s="458"/>
      <c r="AF54" s="458"/>
      <c r="AG54" s="458"/>
      <c r="AH54" s="458"/>
      <c r="AI54" s="458"/>
      <c r="AJ54" s="458"/>
      <c r="AK54" s="458"/>
      <c r="AL54" s="458"/>
    </row>
    <row r="55" spans="1:38" s="422" customFormat="1">
      <c r="A55" s="428"/>
      <c r="B55" s="428"/>
      <c r="C55" s="428"/>
      <c r="D55" s="428"/>
      <c r="E55" s="428"/>
      <c r="F55" s="428"/>
      <c r="G55" s="428"/>
      <c r="H55" s="428"/>
      <c r="I55" s="428"/>
      <c r="J55" s="428"/>
      <c r="K55" s="428"/>
      <c r="L55" s="428"/>
      <c r="M55" s="428"/>
      <c r="N55" s="428"/>
      <c r="O55" s="428"/>
      <c r="P55" s="428"/>
      <c r="Q55" s="428"/>
      <c r="R55" s="428"/>
      <c r="S55" s="428"/>
      <c r="T55" s="428"/>
      <c r="U55" s="428"/>
      <c r="V55" s="458"/>
      <c r="W55" s="458"/>
      <c r="X55" s="458"/>
      <c r="Y55" s="458"/>
      <c r="Z55" s="458"/>
      <c r="AA55" s="458"/>
      <c r="AB55" s="458"/>
      <c r="AC55" s="458"/>
      <c r="AD55" s="458"/>
      <c r="AE55" s="458"/>
      <c r="AF55" s="458"/>
      <c r="AG55" s="458"/>
      <c r="AH55" s="458"/>
      <c r="AI55" s="458"/>
      <c r="AJ55" s="458"/>
      <c r="AK55" s="458"/>
      <c r="AL55" s="458"/>
    </row>
    <row r="56" spans="1:38" s="422" customFormat="1">
      <c r="A56" s="428"/>
      <c r="B56" s="428"/>
      <c r="C56" s="428"/>
      <c r="D56" s="428"/>
      <c r="E56" s="428"/>
      <c r="F56" s="428"/>
      <c r="G56" s="428"/>
      <c r="H56" s="428"/>
      <c r="I56" s="428"/>
      <c r="J56" s="428"/>
      <c r="K56" s="428"/>
      <c r="L56" s="428"/>
      <c r="M56" s="428"/>
      <c r="N56" s="428"/>
      <c r="O56" s="428"/>
      <c r="P56" s="428"/>
      <c r="Q56" s="428"/>
      <c r="R56" s="428"/>
      <c r="S56" s="428"/>
      <c r="T56" s="428"/>
      <c r="U56" s="428"/>
      <c r="V56" s="458"/>
      <c r="W56" s="458"/>
      <c r="X56" s="458"/>
      <c r="Y56" s="458"/>
      <c r="Z56" s="458"/>
      <c r="AA56" s="458"/>
      <c r="AB56" s="458"/>
      <c r="AC56" s="458"/>
      <c r="AD56" s="458"/>
      <c r="AE56" s="458"/>
      <c r="AF56" s="458"/>
      <c r="AG56" s="458"/>
      <c r="AH56" s="458"/>
      <c r="AI56" s="458"/>
      <c r="AJ56" s="458"/>
      <c r="AK56" s="458"/>
      <c r="AL56" s="458"/>
    </row>
    <row r="57" spans="1:38" s="422" customFormat="1">
      <c r="A57" s="428"/>
      <c r="B57" s="428"/>
      <c r="C57" s="428"/>
      <c r="D57" s="428"/>
      <c r="E57" s="428"/>
      <c r="F57" s="428"/>
      <c r="G57" s="428"/>
      <c r="H57" s="428"/>
      <c r="I57" s="428"/>
      <c r="J57" s="428"/>
      <c r="K57" s="428"/>
      <c r="L57" s="428"/>
      <c r="M57" s="428"/>
      <c r="N57" s="428"/>
      <c r="O57" s="428"/>
      <c r="P57" s="428"/>
      <c r="Q57" s="428"/>
      <c r="R57" s="428"/>
      <c r="S57" s="428"/>
      <c r="T57" s="428"/>
      <c r="U57" s="428"/>
      <c r="V57" s="458"/>
      <c r="W57" s="458"/>
      <c r="X57" s="458"/>
      <c r="Y57" s="458"/>
      <c r="Z57" s="458"/>
      <c r="AA57" s="458"/>
      <c r="AB57" s="458"/>
      <c r="AC57" s="458"/>
      <c r="AD57" s="458"/>
      <c r="AE57" s="458"/>
      <c r="AF57" s="458"/>
      <c r="AG57" s="458"/>
      <c r="AH57" s="458"/>
      <c r="AI57" s="458"/>
      <c r="AJ57" s="458"/>
      <c r="AK57" s="458"/>
      <c r="AL57" s="458"/>
    </row>
    <row r="58" spans="1:38" s="422" customFormat="1">
      <c r="A58" s="428"/>
      <c r="B58" s="428"/>
      <c r="C58" s="428"/>
      <c r="D58" s="428"/>
      <c r="E58" s="428"/>
      <c r="F58" s="428"/>
      <c r="G58" s="428"/>
      <c r="H58" s="428"/>
      <c r="I58" s="428"/>
      <c r="J58" s="428"/>
      <c r="K58" s="428"/>
      <c r="L58" s="428"/>
      <c r="M58" s="428"/>
      <c r="N58" s="428"/>
      <c r="O58" s="428"/>
      <c r="P58" s="428"/>
      <c r="Q58" s="428"/>
      <c r="R58" s="428"/>
      <c r="S58" s="428"/>
      <c r="T58" s="428"/>
      <c r="U58" s="428"/>
      <c r="V58" s="458"/>
      <c r="W58" s="458"/>
      <c r="X58" s="458"/>
      <c r="Y58" s="458"/>
      <c r="Z58" s="458"/>
      <c r="AA58" s="458"/>
      <c r="AB58" s="458"/>
      <c r="AC58" s="458"/>
      <c r="AD58" s="458"/>
      <c r="AE58" s="458"/>
      <c r="AF58" s="458"/>
      <c r="AG58" s="458"/>
      <c r="AH58" s="458"/>
      <c r="AI58" s="458"/>
      <c r="AJ58" s="458"/>
      <c r="AK58" s="458"/>
      <c r="AL58" s="458"/>
    </row>
    <row r="59" spans="1:38" s="422" customFormat="1">
      <c r="A59" s="428"/>
      <c r="B59" s="428"/>
      <c r="C59" s="428"/>
      <c r="D59" s="428"/>
      <c r="E59" s="428"/>
      <c r="F59" s="428"/>
      <c r="G59" s="428"/>
      <c r="H59" s="428"/>
      <c r="I59" s="428"/>
      <c r="J59" s="428"/>
      <c r="K59" s="428"/>
      <c r="L59" s="428"/>
      <c r="M59" s="428"/>
      <c r="N59" s="428"/>
      <c r="O59" s="428"/>
      <c r="P59" s="428"/>
      <c r="Q59" s="428"/>
      <c r="R59" s="428"/>
      <c r="S59" s="428"/>
      <c r="T59" s="428"/>
      <c r="U59" s="428"/>
      <c r="V59" s="458"/>
      <c r="W59" s="458"/>
      <c r="X59" s="458"/>
      <c r="Y59" s="458"/>
      <c r="Z59" s="458"/>
      <c r="AA59" s="458"/>
      <c r="AB59" s="458"/>
      <c r="AC59" s="458"/>
      <c r="AD59" s="458"/>
      <c r="AE59" s="458"/>
      <c r="AF59" s="458"/>
      <c r="AG59" s="458"/>
      <c r="AH59" s="458"/>
      <c r="AI59" s="458"/>
      <c r="AJ59" s="458"/>
      <c r="AK59" s="458"/>
      <c r="AL59" s="458"/>
    </row>
    <row r="60" spans="1:38" s="422" customFormat="1">
      <c r="A60" s="428"/>
      <c r="B60" s="428"/>
      <c r="C60" s="428"/>
      <c r="D60" s="428"/>
      <c r="E60" s="428"/>
      <c r="F60" s="428"/>
      <c r="G60" s="428"/>
      <c r="H60" s="428"/>
      <c r="I60" s="428"/>
      <c r="J60" s="428"/>
      <c r="K60" s="428"/>
      <c r="L60" s="428"/>
      <c r="M60" s="428"/>
      <c r="N60" s="428"/>
      <c r="O60" s="428"/>
      <c r="P60" s="428"/>
      <c r="Q60" s="428"/>
      <c r="R60" s="428"/>
      <c r="S60" s="428"/>
      <c r="T60" s="428"/>
      <c r="U60" s="428"/>
      <c r="V60" s="458"/>
      <c r="W60" s="458"/>
      <c r="X60" s="458"/>
      <c r="Y60" s="458"/>
      <c r="Z60" s="458"/>
      <c r="AA60" s="458"/>
      <c r="AB60" s="458"/>
      <c r="AC60" s="458"/>
      <c r="AD60" s="458"/>
      <c r="AE60" s="458"/>
      <c r="AF60" s="458"/>
      <c r="AG60" s="458"/>
      <c r="AH60" s="458"/>
      <c r="AI60" s="458"/>
      <c r="AJ60" s="458"/>
      <c r="AK60" s="458"/>
      <c r="AL60" s="458"/>
    </row>
    <row r="61" spans="1:38" s="422" customFormat="1">
      <c r="A61" s="428"/>
      <c r="B61" s="428"/>
      <c r="C61" s="428"/>
      <c r="D61" s="428"/>
      <c r="E61" s="428"/>
      <c r="F61" s="428"/>
      <c r="G61" s="428"/>
      <c r="H61" s="428"/>
      <c r="I61" s="428"/>
      <c r="J61" s="428"/>
      <c r="K61" s="428"/>
      <c r="L61" s="428"/>
      <c r="M61" s="428"/>
      <c r="N61" s="428"/>
      <c r="O61" s="428"/>
      <c r="P61" s="428"/>
      <c r="Q61" s="428"/>
      <c r="R61" s="428"/>
      <c r="S61" s="428"/>
      <c r="T61" s="428"/>
      <c r="U61" s="428"/>
      <c r="V61" s="458"/>
      <c r="W61" s="458"/>
      <c r="X61" s="458"/>
      <c r="Y61" s="458"/>
      <c r="Z61" s="458"/>
      <c r="AA61" s="458"/>
      <c r="AB61" s="458"/>
      <c r="AC61" s="458"/>
      <c r="AD61" s="458"/>
      <c r="AE61" s="458"/>
      <c r="AF61" s="458"/>
      <c r="AG61" s="458"/>
      <c r="AH61" s="458"/>
      <c r="AI61" s="458"/>
      <c r="AJ61" s="458"/>
      <c r="AK61" s="458"/>
      <c r="AL61" s="458"/>
    </row>
    <row r="62" spans="1:38" s="422" customFormat="1">
      <c r="A62" s="428"/>
      <c r="B62" s="428"/>
      <c r="C62" s="428"/>
      <c r="D62" s="428"/>
      <c r="E62" s="428"/>
      <c r="F62" s="428"/>
      <c r="G62" s="428"/>
      <c r="H62" s="428"/>
      <c r="I62" s="428"/>
      <c r="J62" s="428"/>
      <c r="K62" s="428"/>
      <c r="L62" s="428"/>
      <c r="M62" s="428"/>
      <c r="N62" s="428"/>
      <c r="O62" s="428"/>
      <c r="P62" s="428"/>
      <c r="Q62" s="428"/>
      <c r="R62" s="428"/>
      <c r="S62" s="428"/>
      <c r="T62" s="428"/>
      <c r="U62" s="428"/>
      <c r="V62" s="458"/>
      <c r="W62" s="458"/>
      <c r="X62" s="458"/>
      <c r="Y62" s="458"/>
      <c r="Z62" s="458"/>
      <c r="AA62" s="458"/>
      <c r="AB62" s="458"/>
      <c r="AC62" s="458"/>
      <c r="AD62" s="458"/>
      <c r="AE62" s="458"/>
      <c r="AF62" s="458"/>
      <c r="AG62" s="458"/>
      <c r="AH62" s="458"/>
      <c r="AI62" s="458"/>
      <c r="AJ62" s="458"/>
      <c r="AK62" s="458"/>
      <c r="AL62" s="458"/>
    </row>
    <row r="63" spans="1:38" s="422" customFormat="1">
      <c r="A63" s="428"/>
      <c r="B63" s="428"/>
      <c r="C63" s="428"/>
      <c r="D63" s="428"/>
      <c r="E63" s="428"/>
      <c r="F63" s="428"/>
      <c r="G63" s="428"/>
      <c r="H63" s="428"/>
      <c r="I63" s="428"/>
      <c r="J63" s="428"/>
      <c r="K63" s="428"/>
      <c r="L63" s="428"/>
      <c r="M63" s="428"/>
      <c r="N63" s="428"/>
      <c r="O63" s="428"/>
      <c r="P63" s="428"/>
      <c r="Q63" s="428"/>
      <c r="R63" s="428"/>
      <c r="S63" s="428"/>
      <c r="T63" s="428"/>
      <c r="U63" s="428"/>
      <c r="V63" s="458"/>
      <c r="W63" s="458"/>
      <c r="X63" s="458"/>
      <c r="Y63" s="458"/>
      <c r="Z63" s="458"/>
      <c r="AA63" s="458"/>
      <c r="AB63" s="458"/>
      <c r="AC63" s="458"/>
      <c r="AD63" s="458"/>
      <c r="AE63" s="458"/>
      <c r="AF63" s="458"/>
      <c r="AG63" s="458"/>
      <c r="AH63" s="458"/>
      <c r="AI63" s="458"/>
      <c r="AJ63" s="458"/>
      <c r="AK63" s="458"/>
      <c r="AL63" s="458"/>
    </row>
    <row r="64" spans="1:38" s="422" customFormat="1">
      <c r="A64" s="428"/>
      <c r="B64" s="428"/>
      <c r="C64" s="428"/>
      <c r="D64" s="428"/>
      <c r="E64" s="428"/>
      <c r="F64" s="428"/>
      <c r="G64" s="428"/>
      <c r="H64" s="428"/>
      <c r="I64" s="428"/>
      <c r="J64" s="428"/>
      <c r="K64" s="428"/>
      <c r="L64" s="428"/>
      <c r="M64" s="428"/>
      <c r="N64" s="428"/>
      <c r="O64" s="428"/>
      <c r="P64" s="428"/>
      <c r="Q64" s="428"/>
      <c r="R64" s="428"/>
      <c r="S64" s="428"/>
      <c r="T64" s="428"/>
      <c r="U64" s="428"/>
      <c r="V64" s="458"/>
      <c r="W64" s="458"/>
      <c r="X64" s="458"/>
      <c r="Y64" s="458"/>
      <c r="Z64" s="458"/>
      <c r="AA64" s="458"/>
      <c r="AB64" s="458"/>
      <c r="AC64" s="458"/>
      <c r="AD64" s="458"/>
      <c r="AE64" s="458"/>
      <c r="AF64" s="458"/>
      <c r="AG64" s="458"/>
      <c r="AH64" s="458"/>
      <c r="AI64" s="458"/>
      <c r="AJ64" s="458"/>
      <c r="AK64" s="458"/>
      <c r="AL64" s="458"/>
    </row>
    <row r="65" spans="1:38" s="422" customFormat="1">
      <c r="A65" s="428"/>
      <c r="B65" s="428"/>
      <c r="C65" s="428"/>
      <c r="D65" s="428"/>
      <c r="E65" s="428"/>
      <c r="F65" s="428"/>
      <c r="G65" s="428"/>
      <c r="H65" s="428"/>
      <c r="I65" s="428"/>
      <c r="J65" s="428"/>
      <c r="K65" s="428"/>
      <c r="L65" s="428"/>
      <c r="M65" s="428"/>
      <c r="N65" s="428"/>
      <c r="O65" s="428"/>
      <c r="P65" s="428"/>
      <c r="Q65" s="428"/>
      <c r="R65" s="428"/>
      <c r="S65" s="428"/>
      <c r="T65" s="428"/>
      <c r="U65" s="428"/>
      <c r="V65" s="458"/>
      <c r="W65" s="458"/>
      <c r="X65" s="458"/>
      <c r="Y65" s="458"/>
      <c r="Z65" s="458"/>
      <c r="AA65" s="458"/>
      <c r="AB65" s="458"/>
      <c r="AC65" s="458"/>
      <c r="AD65" s="458"/>
      <c r="AE65" s="458"/>
      <c r="AF65" s="458"/>
      <c r="AG65" s="458"/>
      <c r="AH65" s="458"/>
      <c r="AI65" s="458"/>
      <c r="AJ65" s="458"/>
      <c r="AK65" s="458"/>
      <c r="AL65" s="458"/>
    </row>
    <row r="66" spans="1:38" s="422" customFormat="1">
      <c r="A66" s="428"/>
      <c r="B66" s="428"/>
      <c r="C66" s="428"/>
      <c r="D66" s="428"/>
      <c r="E66" s="428"/>
      <c r="F66" s="428"/>
      <c r="G66" s="428"/>
      <c r="H66" s="428"/>
      <c r="I66" s="428"/>
      <c r="J66" s="428"/>
      <c r="K66" s="428"/>
      <c r="L66" s="428"/>
      <c r="M66" s="428"/>
      <c r="N66" s="428"/>
      <c r="O66" s="428"/>
      <c r="P66" s="428"/>
      <c r="Q66" s="428"/>
      <c r="R66" s="428"/>
      <c r="S66" s="428"/>
      <c r="T66" s="428"/>
      <c r="U66" s="428"/>
      <c r="V66" s="458"/>
      <c r="W66" s="458"/>
      <c r="X66" s="458"/>
      <c r="Y66" s="458"/>
      <c r="Z66" s="458"/>
      <c r="AA66" s="458"/>
      <c r="AB66" s="458"/>
      <c r="AC66" s="458"/>
      <c r="AD66" s="458"/>
      <c r="AE66" s="458"/>
      <c r="AF66" s="458"/>
      <c r="AG66" s="458"/>
      <c r="AH66" s="458"/>
      <c r="AI66" s="458"/>
      <c r="AJ66" s="458"/>
      <c r="AK66" s="458"/>
      <c r="AL66" s="458"/>
    </row>
    <row r="67" spans="1:38" s="422" customFormat="1">
      <c r="A67" s="428"/>
      <c r="B67" s="428"/>
      <c r="C67" s="428"/>
      <c r="D67" s="428"/>
      <c r="E67" s="428"/>
      <c r="F67" s="428"/>
      <c r="G67" s="428"/>
      <c r="H67" s="428"/>
      <c r="I67" s="428"/>
      <c r="J67" s="428"/>
      <c r="K67" s="428"/>
      <c r="L67" s="428"/>
      <c r="M67" s="428"/>
      <c r="N67" s="428"/>
      <c r="O67" s="428"/>
      <c r="P67" s="428"/>
      <c r="Q67" s="428"/>
      <c r="R67" s="428"/>
      <c r="S67" s="428"/>
      <c r="T67" s="428"/>
      <c r="U67" s="428"/>
      <c r="V67" s="458"/>
      <c r="W67" s="458"/>
      <c r="X67" s="458"/>
      <c r="Y67" s="458"/>
      <c r="Z67" s="458"/>
      <c r="AA67" s="458"/>
      <c r="AB67" s="458"/>
      <c r="AC67" s="458"/>
      <c r="AD67" s="458"/>
      <c r="AE67" s="458"/>
      <c r="AF67" s="458"/>
      <c r="AG67" s="458"/>
      <c r="AH67" s="458"/>
      <c r="AI67" s="458"/>
      <c r="AJ67" s="458"/>
      <c r="AK67" s="458"/>
      <c r="AL67" s="458"/>
    </row>
    <row r="68" spans="1:38" s="422" customFormat="1">
      <c r="A68" s="428"/>
      <c r="B68" s="428"/>
      <c r="C68" s="428"/>
      <c r="D68" s="428"/>
      <c r="E68" s="428"/>
      <c r="F68" s="428"/>
      <c r="G68" s="428"/>
      <c r="H68" s="428"/>
      <c r="I68" s="428"/>
      <c r="J68" s="428"/>
      <c r="K68" s="428"/>
      <c r="L68" s="428"/>
      <c r="M68" s="428"/>
      <c r="N68" s="428"/>
      <c r="O68" s="428"/>
      <c r="P68" s="428"/>
      <c r="Q68" s="428"/>
      <c r="R68" s="428"/>
      <c r="S68" s="428"/>
      <c r="T68" s="428"/>
      <c r="U68" s="428"/>
      <c r="V68" s="458"/>
      <c r="W68" s="458"/>
      <c r="X68" s="458"/>
      <c r="Y68" s="458"/>
      <c r="Z68" s="458"/>
      <c r="AA68" s="458"/>
      <c r="AB68" s="458"/>
      <c r="AC68" s="458"/>
      <c r="AD68" s="458"/>
      <c r="AE68" s="458"/>
      <c r="AF68" s="458"/>
      <c r="AG68" s="458"/>
      <c r="AH68" s="458"/>
      <c r="AI68" s="458"/>
      <c r="AJ68" s="458"/>
      <c r="AK68" s="458"/>
      <c r="AL68" s="458"/>
    </row>
    <row r="69" spans="1:38" s="422" customFormat="1">
      <c r="A69" s="428"/>
      <c r="B69" s="428"/>
      <c r="C69" s="428"/>
      <c r="D69" s="428"/>
      <c r="E69" s="428"/>
      <c r="F69" s="428"/>
      <c r="G69" s="428"/>
      <c r="H69" s="428"/>
      <c r="I69" s="428"/>
      <c r="J69" s="428"/>
      <c r="K69" s="428"/>
      <c r="L69" s="428"/>
      <c r="M69" s="428"/>
      <c r="N69" s="428"/>
      <c r="O69" s="428"/>
      <c r="P69" s="428"/>
      <c r="Q69" s="428"/>
      <c r="R69" s="428"/>
      <c r="S69" s="428"/>
      <c r="T69" s="428"/>
      <c r="U69" s="428"/>
      <c r="V69" s="458"/>
      <c r="W69" s="458"/>
      <c r="X69" s="458"/>
      <c r="Y69" s="458"/>
      <c r="Z69" s="458"/>
      <c r="AA69" s="458"/>
      <c r="AB69" s="458"/>
      <c r="AC69" s="458"/>
      <c r="AD69" s="458"/>
      <c r="AE69" s="458"/>
      <c r="AF69" s="458"/>
      <c r="AG69" s="458"/>
      <c r="AH69" s="458"/>
      <c r="AI69" s="458"/>
      <c r="AJ69" s="458"/>
      <c r="AK69" s="458"/>
      <c r="AL69" s="458"/>
    </row>
    <row r="70" spans="1:38" s="422" customFormat="1">
      <c r="A70" s="428"/>
      <c r="B70" s="428"/>
      <c r="C70" s="428"/>
      <c r="D70" s="428"/>
      <c r="E70" s="428"/>
      <c r="F70" s="428"/>
      <c r="G70" s="428"/>
      <c r="H70" s="428"/>
      <c r="I70" s="428"/>
      <c r="J70" s="428"/>
      <c r="K70" s="428"/>
      <c r="L70" s="428"/>
      <c r="M70" s="428"/>
      <c r="N70" s="428"/>
      <c r="O70" s="428"/>
      <c r="P70" s="428"/>
      <c r="Q70" s="428"/>
      <c r="R70" s="428"/>
      <c r="S70" s="428"/>
      <c r="T70" s="428"/>
      <c r="U70" s="428"/>
      <c r="V70" s="458"/>
      <c r="W70" s="458"/>
      <c r="X70" s="458"/>
      <c r="Y70" s="458"/>
      <c r="Z70" s="458"/>
      <c r="AA70" s="458"/>
      <c r="AB70" s="458"/>
      <c r="AC70" s="458"/>
      <c r="AD70" s="458"/>
      <c r="AE70" s="458"/>
      <c r="AF70" s="458"/>
      <c r="AG70" s="458"/>
      <c r="AH70" s="458"/>
      <c r="AI70" s="458"/>
      <c r="AJ70" s="458"/>
      <c r="AK70" s="458"/>
      <c r="AL70" s="458"/>
    </row>
    <row r="71" spans="1:38" s="422" customFormat="1">
      <c r="A71" s="428"/>
      <c r="B71" s="428"/>
      <c r="C71" s="428"/>
      <c r="D71" s="428"/>
      <c r="E71" s="428"/>
      <c r="F71" s="428"/>
      <c r="G71" s="428"/>
      <c r="H71" s="428"/>
      <c r="I71" s="428"/>
      <c r="J71" s="428"/>
      <c r="K71" s="428"/>
      <c r="L71" s="428"/>
      <c r="M71" s="428"/>
      <c r="N71" s="428"/>
      <c r="O71" s="428"/>
      <c r="P71" s="428"/>
      <c r="Q71" s="428"/>
      <c r="R71" s="428"/>
      <c r="S71" s="428"/>
      <c r="T71" s="428"/>
      <c r="U71" s="428"/>
      <c r="V71" s="458"/>
      <c r="W71" s="458"/>
      <c r="X71" s="458"/>
      <c r="Y71" s="458"/>
      <c r="Z71" s="458"/>
      <c r="AA71" s="458"/>
      <c r="AB71" s="458"/>
      <c r="AC71" s="458"/>
      <c r="AD71" s="458"/>
      <c r="AE71" s="458"/>
      <c r="AF71" s="458"/>
      <c r="AG71" s="458"/>
      <c r="AH71" s="458"/>
      <c r="AI71" s="458"/>
      <c r="AJ71" s="458"/>
      <c r="AK71" s="458"/>
      <c r="AL71" s="458"/>
    </row>
    <row r="72" spans="1:38" s="422" customFormat="1">
      <c r="A72" s="428"/>
      <c r="B72" s="428"/>
      <c r="C72" s="428"/>
      <c r="D72" s="428"/>
      <c r="E72" s="428"/>
      <c r="F72" s="428"/>
      <c r="G72" s="428"/>
      <c r="H72" s="428"/>
      <c r="I72" s="428"/>
      <c r="J72" s="428"/>
      <c r="K72" s="428"/>
      <c r="L72" s="428"/>
      <c r="M72" s="428"/>
      <c r="N72" s="428"/>
      <c r="O72" s="428"/>
      <c r="P72" s="428"/>
      <c r="Q72" s="428"/>
      <c r="R72" s="428"/>
      <c r="S72" s="428"/>
      <c r="T72" s="428"/>
      <c r="U72" s="428"/>
      <c r="V72" s="458"/>
      <c r="W72" s="458"/>
      <c r="X72" s="458"/>
      <c r="Y72" s="458"/>
      <c r="Z72" s="458"/>
      <c r="AA72" s="458"/>
      <c r="AB72" s="458"/>
      <c r="AC72" s="458"/>
      <c r="AD72" s="458"/>
      <c r="AE72" s="458"/>
      <c r="AF72" s="458"/>
      <c r="AG72" s="458"/>
      <c r="AH72" s="458"/>
      <c r="AI72" s="458"/>
      <c r="AJ72" s="458"/>
      <c r="AK72" s="458"/>
      <c r="AL72" s="458"/>
    </row>
    <row r="73" spans="1:38" s="422" customFormat="1">
      <c r="A73" s="428"/>
      <c r="B73" s="428"/>
      <c r="C73" s="428"/>
      <c r="D73" s="428"/>
      <c r="E73" s="428"/>
      <c r="F73" s="428"/>
      <c r="G73" s="428"/>
      <c r="H73" s="428"/>
      <c r="I73" s="428"/>
      <c r="J73" s="428"/>
      <c r="K73" s="428"/>
      <c r="L73" s="428"/>
      <c r="M73" s="428"/>
      <c r="N73" s="428"/>
      <c r="O73" s="428"/>
      <c r="P73" s="428"/>
      <c r="Q73" s="428"/>
      <c r="R73" s="428"/>
      <c r="S73" s="428"/>
      <c r="T73" s="428"/>
      <c r="U73" s="428"/>
      <c r="V73" s="458"/>
      <c r="W73" s="458"/>
      <c r="X73" s="458"/>
      <c r="Y73" s="458"/>
      <c r="Z73" s="458"/>
      <c r="AA73" s="458"/>
      <c r="AB73" s="458"/>
      <c r="AC73" s="458"/>
      <c r="AD73" s="458"/>
      <c r="AE73" s="458"/>
      <c r="AF73" s="458"/>
      <c r="AG73" s="458"/>
      <c r="AH73" s="458"/>
      <c r="AI73" s="458"/>
      <c r="AJ73" s="458"/>
      <c r="AK73" s="458"/>
      <c r="AL73" s="458"/>
    </row>
    <row r="74" spans="1:38" s="422" customFormat="1">
      <c r="A74" s="428"/>
      <c r="B74" s="428"/>
      <c r="C74" s="428"/>
      <c r="D74" s="428"/>
      <c r="E74" s="428"/>
      <c r="F74" s="428"/>
      <c r="G74" s="428"/>
      <c r="H74" s="428"/>
      <c r="I74" s="428"/>
      <c r="J74" s="428"/>
      <c r="K74" s="428"/>
      <c r="L74" s="428"/>
      <c r="M74" s="428"/>
      <c r="N74" s="428"/>
      <c r="O74" s="428"/>
      <c r="P74" s="428"/>
      <c r="Q74" s="428"/>
      <c r="R74" s="428"/>
      <c r="S74" s="428"/>
      <c r="T74" s="428"/>
      <c r="U74" s="428"/>
      <c r="V74" s="458"/>
      <c r="W74" s="458"/>
      <c r="X74" s="458"/>
      <c r="Y74" s="458"/>
      <c r="Z74" s="458"/>
      <c r="AA74" s="458"/>
      <c r="AB74" s="458"/>
      <c r="AC74" s="458"/>
      <c r="AD74" s="458"/>
      <c r="AE74" s="458"/>
      <c r="AF74" s="458"/>
      <c r="AG74" s="458"/>
      <c r="AH74" s="458"/>
      <c r="AI74" s="458"/>
      <c r="AJ74" s="458"/>
      <c r="AK74" s="458"/>
      <c r="AL74" s="458"/>
    </row>
    <row r="75" spans="1:38" s="422" customFormat="1">
      <c r="A75" s="428"/>
      <c r="B75" s="428"/>
      <c r="C75" s="428"/>
      <c r="D75" s="428"/>
      <c r="E75" s="428"/>
      <c r="F75" s="428"/>
      <c r="G75" s="428"/>
      <c r="H75" s="428"/>
      <c r="I75" s="428"/>
      <c r="J75" s="428"/>
      <c r="K75" s="428"/>
      <c r="L75" s="428"/>
      <c r="M75" s="428"/>
      <c r="N75" s="428"/>
      <c r="O75" s="428"/>
      <c r="P75" s="428"/>
      <c r="Q75" s="428"/>
      <c r="R75" s="428"/>
      <c r="S75" s="428"/>
      <c r="T75" s="428"/>
      <c r="U75" s="428"/>
      <c r="V75" s="458"/>
      <c r="W75" s="458"/>
      <c r="X75" s="458"/>
      <c r="Y75" s="458"/>
      <c r="Z75" s="458"/>
      <c r="AA75" s="458"/>
      <c r="AB75" s="458"/>
      <c r="AC75" s="458"/>
      <c r="AD75" s="458"/>
      <c r="AE75" s="458"/>
      <c r="AF75" s="458"/>
      <c r="AG75" s="458"/>
      <c r="AH75" s="458"/>
      <c r="AI75" s="458"/>
      <c r="AJ75" s="458"/>
      <c r="AK75" s="458"/>
      <c r="AL75" s="458"/>
    </row>
    <row r="76" spans="1:38" s="422" customFormat="1">
      <c r="A76" s="428"/>
      <c r="B76" s="428"/>
      <c r="C76" s="428"/>
      <c r="D76" s="428"/>
      <c r="E76" s="428"/>
      <c r="F76" s="428"/>
      <c r="G76" s="428"/>
      <c r="H76" s="428"/>
      <c r="I76" s="428"/>
      <c r="J76" s="428"/>
      <c r="K76" s="428"/>
      <c r="L76" s="428"/>
      <c r="M76" s="428"/>
      <c r="N76" s="428"/>
      <c r="O76" s="428"/>
      <c r="P76" s="428"/>
      <c r="Q76" s="428"/>
      <c r="R76" s="428"/>
      <c r="S76" s="428"/>
      <c r="T76" s="428"/>
      <c r="U76" s="428"/>
      <c r="V76" s="458"/>
      <c r="W76" s="458"/>
      <c r="X76" s="458"/>
      <c r="Y76" s="458"/>
      <c r="Z76" s="458"/>
      <c r="AA76" s="458"/>
      <c r="AB76" s="458"/>
      <c r="AC76" s="458"/>
      <c r="AD76" s="458"/>
      <c r="AE76" s="458"/>
      <c r="AF76" s="458"/>
      <c r="AG76" s="458"/>
      <c r="AH76" s="458"/>
      <c r="AI76" s="458"/>
      <c r="AJ76" s="458"/>
      <c r="AK76" s="458"/>
      <c r="AL76" s="458"/>
    </row>
    <row r="77" spans="1:38" s="422" customFormat="1">
      <c r="A77" s="428"/>
      <c r="B77" s="428"/>
      <c r="C77" s="428"/>
      <c r="D77" s="428"/>
      <c r="E77" s="428"/>
      <c r="F77" s="428"/>
      <c r="G77" s="428"/>
      <c r="H77" s="428"/>
      <c r="I77" s="428"/>
      <c r="J77" s="428"/>
      <c r="K77" s="428"/>
      <c r="L77" s="428"/>
      <c r="M77" s="428"/>
      <c r="N77" s="428"/>
      <c r="O77" s="428"/>
      <c r="P77" s="428"/>
      <c r="Q77" s="428"/>
      <c r="R77" s="428"/>
      <c r="S77" s="428"/>
      <c r="T77" s="428"/>
      <c r="U77" s="428"/>
      <c r="V77" s="458"/>
      <c r="W77" s="458"/>
      <c r="X77" s="458"/>
      <c r="Y77" s="458"/>
      <c r="Z77" s="458"/>
      <c r="AA77" s="458"/>
      <c r="AB77" s="458"/>
      <c r="AC77" s="458"/>
      <c r="AD77" s="458"/>
      <c r="AE77" s="458"/>
      <c r="AF77" s="458"/>
      <c r="AG77" s="458"/>
      <c r="AH77" s="458"/>
      <c r="AI77" s="458"/>
      <c r="AJ77" s="458"/>
      <c r="AK77" s="458"/>
      <c r="AL77" s="458"/>
    </row>
    <row r="78" spans="1:38" s="422" customFormat="1">
      <c r="A78" s="428"/>
      <c r="B78" s="428"/>
      <c r="C78" s="428"/>
      <c r="D78" s="428"/>
      <c r="E78" s="428"/>
      <c r="F78" s="428"/>
      <c r="G78" s="428"/>
      <c r="H78" s="428"/>
      <c r="I78" s="428"/>
      <c r="J78" s="428"/>
      <c r="K78" s="428"/>
      <c r="L78" s="428"/>
      <c r="M78" s="428"/>
      <c r="N78" s="428"/>
      <c r="O78" s="428"/>
      <c r="P78" s="428"/>
      <c r="Q78" s="428"/>
      <c r="R78" s="428"/>
      <c r="S78" s="428"/>
      <c r="T78" s="428"/>
      <c r="U78" s="428"/>
      <c r="V78" s="458"/>
      <c r="W78" s="458"/>
      <c r="X78" s="458"/>
      <c r="Y78" s="458"/>
      <c r="Z78" s="458"/>
      <c r="AA78" s="458"/>
      <c r="AB78" s="458"/>
      <c r="AC78" s="458"/>
      <c r="AD78" s="458"/>
      <c r="AE78" s="458"/>
      <c r="AF78" s="458"/>
      <c r="AG78" s="458"/>
      <c r="AH78" s="458"/>
      <c r="AI78" s="458"/>
      <c r="AJ78" s="458"/>
      <c r="AK78" s="458"/>
      <c r="AL78" s="458"/>
    </row>
    <row r="79" spans="1:38" s="422" customFormat="1">
      <c r="A79" s="428"/>
      <c r="B79" s="428"/>
      <c r="C79" s="428"/>
      <c r="D79" s="428"/>
      <c r="E79" s="428"/>
      <c r="F79" s="428"/>
      <c r="G79" s="428"/>
      <c r="H79" s="428"/>
      <c r="I79" s="428"/>
      <c r="J79" s="428"/>
      <c r="K79" s="428"/>
      <c r="L79" s="428"/>
      <c r="M79" s="428"/>
      <c r="N79" s="428"/>
      <c r="O79" s="428"/>
      <c r="P79" s="428"/>
      <c r="Q79" s="428"/>
      <c r="R79" s="428"/>
      <c r="S79" s="428"/>
      <c r="T79" s="428"/>
      <c r="U79" s="428"/>
      <c r="V79" s="458"/>
      <c r="W79" s="458"/>
      <c r="X79" s="458"/>
      <c r="Y79" s="458"/>
      <c r="Z79" s="458"/>
      <c r="AA79" s="458"/>
      <c r="AB79" s="458"/>
      <c r="AC79" s="458"/>
      <c r="AD79" s="458"/>
      <c r="AE79" s="458"/>
      <c r="AF79" s="458"/>
      <c r="AG79" s="458"/>
      <c r="AH79" s="458"/>
      <c r="AI79" s="458"/>
      <c r="AJ79" s="458"/>
      <c r="AK79" s="458"/>
      <c r="AL79" s="458"/>
    </row>
    <row r="80" spans="1:38" s="422" customFormat="1">
      <c r="A80" s="428"/>
      <c r="B80" s="428"/>
      <c r="C80" s="428"/>
      <c r="D80" s="428"/>
      <c r="E80" s="428"/>
      <c r="F80" s="428"/>
      <c r="G80" s="428"/>
      <c r="H80" s="428"/>
      <c r="I80" s="428"/>
      <c r="J80" s="428"/>
      <c r="K80" s="428"/>
      <c r="L80" s="428"/>
      <c r="M80" s="428"/>
      <c r="N80" s="428"/>
      <c r="O80" s="428"/>
      <c r="P80" s="428"/>
      <c r="Q80" s="428"/>
      <c r="R80" s="428"/>
      <c r="S80" s="428"/>
      <c r="T80" s="428"/>
      <c r="U80" s="428"/>
      <c r="V80" s="458"/>
      <c r="W80" s="458"/>
      <c r="X80" s="458"/>
      <c r="Y80" s="458"/>
      <c r="Z80" s="458"/>
      <c r="AA80" s="458"/>
      <c r="AB80" s="458"/>
      <c r="AC80" s="458"/>
      <c r="AD80" s="458"/>
      <c r="AE80" s="458"/>
      <c r="AF80" s="458"/>
      <c r="AG80" s="458"/>
      <c r="AH80" s="458"/>
      <c r="AI80" s="458"/>
      <c r="AJ80" s="458"/>
      <c r="AK80" s="458"/>
      <c r="AL80" s="458"/>
    </row>
    <row r="81" spans="1:39" s="422" customFormat="1">
      <c r="A81" s="428"/>
      <c r="B81" s="428"/>
      <c r="C81" s="428"/>
      <c r="D81" s="428"/>
      <c r="E81" s="428"/>
      <c r="F81" s="428"/>
      <c r="G81" s="428"/>
      <c r="H81" s="428"/>
      <c r="I81" s="428"/>
      <c r="J81" s="428"/>
      <c r="K81" s="428"/>
      <c r="L81" s="428"/>
      <c r="M81" s="428"/>
      <c r="N81" s="428"/>
      <c r="O81" s="428"/>
      <c r="P81" s="428"/>
      <c r="Q81" s="428"/>
      <c r="R81" s="428"/>
      <c r="S81" s="428"/>
      <c r="T81" s="428"/>
      <c r="U81" s="428"/>
      <c r="V81" s="458"/>
      <c r="W81" s="458"/>
      <c r="X81" s="458"/>
      <c r="Y81" s="458"/>
      <c r="Z81" s="458"/>
      <c r="AA81" s="458"/>
      <c r="AB81" s="458"/>
      <c r="AC81" s="458"/>
      <c r="AD81" s="458"/>
      <c r="AE81" s="458"/>
      <c r="AF81" s="458"/>
      <c r="AG81" s="458"/>
      <c r="AH81" s="458"/>
      <c r="AI81" s="458"/>
      <c r="AJ81" s="458"/>
      <c r="AK81" s="458"/>
      <c r="AL81" s="458"/>
    </row>
    <row r="82" spans="1:39" s="422" customFormat="1">
      <c r="A82" s="428"/>
      <c r="B82" s="428"/>
      <c r="C82" s="428"/>
      <c r="D82" s="428"/>
      <c r="E82" s="428"/>
      <c r="F82" s="428"/>
      <c r="G82" s="428"/>
      <c r="H82" s="428"/>
      <c r="I82" s="428"/>
      <c r="J82" s="428"/>
      <c r="K82" s="428"/>
      <c r="L82" s="428"/>
      <c r="M82" s="428"/>
      <c r="N82" s="428"/>
      <c r="O82" s="428"/>
      <c r="P82" s="428"/>
      <c r="Q82" s="428"/>
      <c r="R82" s="428"/>
      <c r="S82" s="428"/>
      <c r="T82" s="428"/>
      <c r="U82" s="428"/>
      <c r="V82" s="458"/>
      <c r="W82" s="458"/>
      <c r="X82" s="458"/>
      <c r="Y82" s="458"/>
      <c r="Z82" s="458"/>
      <c r="AA82" s="458"/>
      <c r="AB82" s="458"/>
      <c r="AC82" s="458"/>
      <c r="AD82" s="458"/>
      <c r="AE82" s="458"/>
      <c r="AF82" s="458"/>
      <c r="AG82" s="458"/>
      <c r="AH82" s="458"/>
      <c r="AI82" s="458"/>
      <c r="AJ82" s="458"/>
      <c r="AK82" s="458"/>
      <c r="AL82" s="458"/>
    </row>
    <row r="83" spans="1:39" s="422" customFormat="1">
      <c r="A83" s="428"/>
      <c r="B83" s="428"/>
      <c r="C83" s="428"/>
      <c r="D83" s="428"/>
      <c r="E83" s="428"/>
      <c r="F83" s="428"/>
      <c r="G83" s="428"/>
      <c r="H83" s="428"/>
      <c r="I83" s="428"/>
      <c r="J83" s="428"/>
      <c r="K83" s="428"/>
      <c r="L83" s="428"/>
      <c r="M83" s="428"/>
      <c r="N83" s="428"/>
      <c r="O83" s="428"/>
      <c r="P83" s="428"/>
      <c r="Q83" s="428"/>
      <c r="R83" s="428"/>
      <c r="S83" s="428"/>
      <c r="T83" s="428"/>
      <c r="U83" s="428"/>
      <c r="V83" s="428"/>
      <c r="W83" s="428"/>
      <c r="X83" s="428"/>
      <c r="Y83" s="428"/>
      <c r="Z83" s="428"/>
      <c r="AA83" s="428"/>
      <c r="AB83" s="428"/>
      <c r="AC83" s="428"/>
      <c r="AD83" s="428"/>
      <c r="AE83" s="428"/>
      <c r="AF83" s="428"/>
      <c r="AG83" s="428"/>
      <c r="AH83" s="428"/>
      <c r="AI83" s="428"/>
      <c r="AJ83" s="428"/>
      <c r="AK83" s="428"/>
      <c r="AL83" s="428"/>
    </row>
    <row r="84" spans="1:39" s="422" customFormat="1">
      <c r="A84" s="428"/>
      <c r="B84" s="428"/>
      <c r="C84" s="428"/>
      <c r="D84" s="428"/>
      <c r="E84" s="428"/>
      <c r="F84" s="428"/>
      <c r="G84" s="428"/>
      <c r="H84" s="428"/>
      <c r="I84" s="428"/>
      <c r="J84" s="428"/>
      <c r="K84" s="428"/>
      <c r="L84" s="428"/>
      <c r="M84" s="428"/>
      <c r="N84" s="428"/>
      <c r="O84" s="428"/>
      <c r="P84" s="428"/>
      <c r="Q84" s="428"/>
      <c r="R84" s="428"/>
      <c r="S84" s="428"/>
      <c r="T84" s="428"/>
      <c r="U84" s="428"/>
      <c r="V84" s="428"/>
      <c r="W84" s="428"/>
      <c r="X84" s="428"/>
      <c r="Y84" s="428"/>
      <c r="Z84" s="428"/>
      <c r="AA84" s="428"/>
      <c r="AB84" s="428"/>
      <c r="AC84" s="428"/>
      <c r="AD84" s="428"/>
      <c r="AE84" s="428"/>
      <c r="AF84" s="428"/>
      <c r="AG84" s="428"/>
      <c r="AH84" s="428"/>
      <c r="AI84" s="428"/>
      <c r="AJ84" s="428"/>
      <c r="AK84" s="428"/>
      <c r="AL84" s="428"/>
    </row>
    <row r="85" spans="1:39">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83"/>
    </row>
    <row r="86" spans="1:39">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14"/>
      <c r="AL86" s="14"/>
      <c r="AM86" s="83"/>
    </row>
    <row r="87" spans="1:39">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83"/>
    </row>
    <row r="88" spans="1:39">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83"/>
    </row>
    <row r="89" spans="1:39">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83"/>
    </row>
    <row r="90" spans="1:39">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83"/>
    </row>
    <row r="91" spans="1:39">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83"/>
    </row>
    <row r="92" spans="1:39">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83"/>
    </row>
    <row r="93" spans="1:39">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83"/>
    </row>
    <row r="94" spans="1:39">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83"/>
    </row>
    <row r="95" spans="1:39">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14"/>
      <c r="AL95" s="14"/>
      <c r="AM95" s="83"/>
    </row>
    <row r="96" spans="1:39">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14"/>
      <c r="AL96" s="14"/>
      <c r="AM96" s="83"/>
    </row>
    <row r="97" spans="1:39">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83"/>
    </row>
    <row r="98" spans="1:39">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83"/>
    </row>
    <row r="99" spans="1:39">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c r="AA99" s="14"/>
      <c r="AB99" s="14"/>
      <c r="AC99" s="14"/>
      <c r="AD99" s="14"/>
      <c r="AE99" s="14"/>
      <c r="AF99" s="14"/>
      <c r="AG99" s="14"/>
      <c r="AH99" s="14"/>
      <c r="AI99" s="14"/>
      <c r="AJ99" s="14"/>
      <c r="AK99" s="14"/>
      <c r="AL99" s="14"/>
      <c r="AM99" s="83"/>
    </row>
    <row r="100" spans="1:39">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c r="AA100" s="14"/>
      <c r="AB100" s="14"/>
      <c r="AC100" s="14"/>
      <c r="AD100" s="14"/>
      <c r="AE100" s="14"/>
      <c r="AF100" s="14"/>
      <c r="AG100" s="14"/>
      <c r="AH100" s="14"/>
      <c r="AI100" s="14"/>
      <c r="AJ100" s="14"/>
      <c r="AK100" s="14"/>
      <c r="AL100" s="14"/>
      <c r="AM100" s="83"/>
    </row>
    <row r="101" spans="1:39">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c r="AA101" s="14"/>
      <c r="AB101" s="14"/>
      <c r="AC101" s="14"/>
      <c r="AD101" s="14"/>
      <c r="AE101" s="14"/>
      <c r="AF101" s="14"/>
      <c r="AG101" s="14"/>
      <c r="AH101" s="14"/>
      <c r="AI101" s="14"/>
      <c r="AJ101" s="14"/>
      <c r="AK101" s="14"/>
      <c r="AL101" s="14"/>
      <c r="AM101" s="83"/>
    </row>
    <row r="102" spans="1:39">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c r="AA102" s="14"/>
      <c r="AB102" s="14"/>
      <c r="AC102" s="14"/>
      <c r="AD102" s="14"/>
      <c r="AE102" s="14"/>
      <c r="AF102" s="14"/>
      <c r="AG102" s="14"/>
      <c r="AH102" s="14"/>
      <c r="AI102" s="14"/>
      <c r="AJ102" s="14"/>
      <c r="AK102" s="14"/>
      <c r="AL102" s="14"/>
      <c r="AM102" s="83"/>
    </row>
    <row r="103" spans="1:39">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c r="AA103" s="14"/>
      <c r="AB103" s="14"/>
      <c r="AC103" s="14"/>
      <c r="AD103" s="14"/>
      <c r="AE103" s="14"/>
      <c r="AF103" s="14"/>
      <c r="AG103" s="14"/>
      <c r="AH103" s="14"/>
      <c r="AI103" s="14"/>
      <c r="AJ103" s="14"/>
      <c r="AK103" s="14"/>
      <c r="AL103" s="14"/>
      <c r="AM103" s="83"/>
    </row>
    <row r="104" spans="1:39">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c r="AA104" s="14"/>
      <c r="AB104" s="14"/>
      <c r="AC104" s="14"/>
      <c r="AD104" s="14"/>
      <c r="AE104" s="14"/>
      <c r="AF104" s="14"/>
      <c r="AG104" s="14"/>
      <c r="AH104" s="14"/>
      <c r="AI104" s="14"/>
      <c r="AJ104" s="14"/>
      <c r="AK104" s="14"/>
      <c r="AL104" s="14"/>
      <c r="AM104" s="83"/>
    </row>
    <row r="105" spans="1:39">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c r="AA105" s="14"/>
      <c r="AB105" s="14"/>
      <c r="AC105" s="14"/>
      <c r="AD105" s="14"/>
      <c r="AE105" s="14"/>
      <c r="AF105" s="14"/>
      <c r="AG105" s="14"/>
      <c r="AH105" s="14"/>
      <c r="AI105" s="14"/>
      <c r="AJ105" s="14"/>
      <c r="AK105" s="14"/>
      <c r="AL105" s="14"/>
      <c r="AM105" s="83"/>
    </row>
    <row r="106" spans="1:39">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c r="AA106" s="14"/>
      <c r="AB106" s="14"/>
      <c r="AC106" s="14"/>
      <c r="AD106" s="14"/>
      <c r="AE106" s="14"/>
      <c r="AF106" s="14"/>
      <c r="AG106" s="14"/>
      <c r="AH106" s="14"/>
      <c r="AI106" s="14"/>
      <c r="AJ106" s="14"/>
      <c r="AK106" s="14"/>
      <c r="AL106" s="14"/>
      <c r="AM106" s="83"/>
    </row>
    <row r="107" spans="1:39">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c r="AA107" s="14"/>
      <c r="AB107" s="14"/>
      <c r="AC107" s="14"/>
      <c r="AD107" s="14"/>
      <c r="AE107" s="14"/>
      <c r="AF107" s="14"/>
      <c r="AG107" s="14"/>
      <c r="AH107" s="14"/>
      <c r="AI107" s="14"/>
      <c r="AJ107" s="14"/>
      <c r="AK107" s="14"/>
      <c r="AL107" s="14"/>
      <c r="AM107" s="83"/>
    </row>
    <row r="108" spans="1:39">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c r="AA108" s="14"/>
      <c r="AB108" s="14"/>
      <c r="AC108" s="14"/>
      <c r="AD108" s="14"/>
      <c r="AE108" s="14"/>
      <c r="AF108" s="14"/>
      <c r="AG108" s="14"/>
      <c r="AH108" s="14"/>
      <c r="AI108" s="14"/>
      <c r="AJ108" s="14"/>
      <c r="AK108" s="14"/>
      <c r="AL108" s="14"/>
      <c r="AM108" s="83"/>
    </row>
    <row r="109" spans="1:39">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c r="AA109" s="14"/>
      <c r="AB109" s="14"/>
      <c r="AC109" s="14"/>
      <c r="AD109" s="14"/>
      <c r="AE109" s="14"/>
      <c r="AF109" s="14"/>
      <c r="AG109" s="14"/>
      <c r="AH109" s="14"/>
      <c r="AI109" s="14"/>
      <c r="AJ109" s="14"/>
      <c r="AK109" s="14"/>
      <c r="AL109" s="14"/>
      <c r="AM109" s="83"/>
    </row>
    <row r="110" spans="1:39">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c r="AA110" s="14"/>
      <c r="AB110" s="14"/>
      <c r="AC110" s="14"/>
      <c r="AD110" s="14"/>
      <c r="AE110" s="14"/>
      <c r="AF110" s="14"/>
      <c r="AG110" s="14"/>
      <c r="AH110" s="14"/>
      <c r="AI110" s="14"/>
      <c r="AJ110" s="14"/>
      <c r="AK110" s="14"/>
      <c r="AL110" s="14"/>
      <c r="AM110" s="83"/>
    </row>
    <row r="111" spans="1:39">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c r="AA111" s="14"/>
      <c r="AB111" s="14"/>
      <c r="AC111" s="14"/>
      <c r="AD111" s="14"/>
      <c r="AE111" s="14"/>
      <c r="AF111" s="14"/>
      <c r="AG111" s="14"/>
      <c r="AH111" s="14"/>
      <c r="AI111" s="14"/>
      <c r="AJ111" s="14"/>
      <c r="AK111" s="14"/>
      <c r="AL111" s="14"/>
      <c r="AM111" s="83"/>
    </row>
    <row r="112" spans="1:39">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83"/>
    </row>
    <row r="113" spans="1:39">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c r="AA113" s="14"/>
      <c r="AB113" s="14"/>
      <c r="AC113" s="14"/>
      <c r="AD113" s="14"/>
      <c r="AE113" s="14"/>
      <c r="AF113" s="14"/>
      <c r="AG113" s="14"/>
      <c r="AH113" s="14"/>
      <c r="AI113" s="14"/>
      <c r="AJ113" s="14"/>
      <c r="AK113" s="14"/>
      <c r="AL113" s="14"/>
      <c r="AM113" s="83"/>
    </row>
    <row r="114" spans="1:39">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c r="AA114" s="14"/>
      <c r="AB114" s="14"/>
      <c r="AC114" s="14"/>
      <c r="AD114" s="14"/>
      <c r="AE114" s="14"/>
      <c r="AF114" s="14"/>
      <c r="AG114" s="14"/>
      <c r="AH114" s="14"/>
      <c r="AI114" s="14"/>
      <c r="AJ114" s="14"/>
      <c r="AK114" s="14"/>
      <c r="AL114" s="14"/>
      <c r="AM114" s="83"/>
    </row>
    <row r="115" spans="1:39">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c r="AA115" s="14"/>
      <c r="AB115" s="14"/>
      <c r="AC115" s="14"/>
      <c r="AD115" s="14"/>
      <c r="AE115" s="14"/>
      <c r="AF115" s="14"/>
      <c r="AG115" s="14"/>
      <c r="AH115" s="14"/>
      <c r="AI115" s="14"/>
      <c r="AJ115" s="14"/>
      <c r="AK115" s="14"/>
      <c r="AL115" s="14"/>
      <c r="AM115" s="83"/>
    </row>
    <row r="116" spans="1:39">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c r="AA116" s="14"/>
      <c r="AB116" s="14"/>
      <c r="AC116" s="14"/>
      <c r="AD116" s="14"/>
      <c r="AE116" s="14"/>
      <c r="AF116" s="14"/>
      <c r="AG116" s="14"/>
      <c r="AH116" s="14"/>
      <c r="AI116" s="14"/>
      <c r="AJ116" s="14"/>
      <c r="AK116" s="14"/>
      <c r="AL116" s="14"/>
      <c r="AM116" s="83"/>
    </row>
    <row r="117" spans="1:39">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c r="AA117" s="14"/>
      <c r="AB117" s="14"/>
      <c r="AC117" s="14"/>
      <c r="AD117" s="14"/>
      <c r="AE117" s="14"/>
      <c r="AF117" s="14"/>
      <c r="AG117" s="14"/>
      <c r="AH117" s="14"/>
      <c r="AI117" s="14"/>
      <c r="AJ117" s="14"/>
      <c r="AK117" s="14"/>
      <c r="AL117" s="14"/>
      <c r="AM117" s="83"/>
    </row>
    <row r="118" spans="1:39">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c r="AA118" s="14"/>
      <c r="AB118" s="14"/>
      <c r="AC118" s="14"/>
      <c r="AD118" s="14"/>
      <c r="AE118" s="14"/>
      <c r="AF118" s="14"/>
      <c r="AG118" s="14"/>
      <c r="AH118" s="14"/>
      <c r="AI118" s="14"/>
      <c r="AJ118" s="14"/>
      <c r="AK118" s="14"/>
      <c r="AL118" s="14"/>
      <c r="AM118" s="83"/>
    </row>
    <row r="119" spans="1:39">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c r="AA119" s="14"/>
      <c r="AB119" s="14"/>
      <c r="AC119" s="14"/>
      <c r="AD119" s="14"/>
      <c r="AE119" s="14"/>
      <c r="AF119" s="14"/>
      <c r="AG119" s="14"/>
      <c r="AH119" s="14"/>
      <c r="AI119" s="14"/>
      <c r="AJ119" s="14"/>
      <c r="AK119" s="14"/>
      <c r="AL119" s="14"/>
      <c r="AM119" s="83"/>
    </row>
    <row r="120" spans="1:39">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c r="AA120" s="14"/>
      <c r="AB120" s="14"/>
      <c r="AC120" s="14"/>
      <c r="AD120" s="14"/>
      <c r="AE120" s="14"/>
      <c r="AF120" s="14"/>
      <c r="AG120" s="14"/>
      <c r="AH120" s="14"/>
      <c r="AI120" s="14"/>
      <c r="AJ120" s="14"/>
      <c r="AK120" s="14"/>
      <c r="AL120" s="14"/>
      <c r="AM120" s="83"/>
    </row>
    <row r="121" spans="1:39">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c r="AA121" s="14"/>
      <c r="AB121" s="14"/>
      <c r="AC121" s="14"/>
      <c r="AD121" s="14"/>
      <c r="AE121" s="14"/>
      <c r="AF121" s="14"/>
      <c r="AG121" s="14"/>
      <c r="AH121" s="14"/>
      <c r="AI121" s="14"/>
      <c r="AJ121" s="14"/>
      <c r="AK121" s="14"/>
      <c r="AL121" s="14"/>
      <c r="AM121" s="83"/>
    </row>
    <row r="122" spans="1:39">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c r="AA122" s="14"/>
      <c r="AB122" s="14"/>
      <c r="AC122" s="14"/>
      <c r="AD122" s="14"/>
      <c r="AE122" s="14"/>
      <c r="AF122" s="14"/>
      <c r="AG122" s="14"/>
      <c r="AH122" s="14"/>
      <c r="AI122" s="14"/>
      <c r="AJ122" s="14"/>
      <c r="AK122" s="14"/>
      <c r="AL122" s="14"/>
      <c r="AM122" s="83"/>
    </row>
    <row r="123" spans="1:39">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c r="AA123" s="14"/>
      <c r="AB123" s="14"/>
      <c r="AC123" s="14"/>
      <c r="AD123" s="14"/>
      <c r="AE123" s="14"/>
      <c r="AF123" s="14"/>
      <c r="AG123" s="14"/>
      <c r="AH123" s="14"/>
      <c r="AI123" s="14"/>
      <c r="AJ123" s="14"/>
      <c r="AK123" s="14"/>
      <c r="AL123" s="14"/>
      <c r="AM123" s="83"/>
    </row>
    <row r="124" spans="1:39">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c r="AA124" s="14"/>
      <c r="AB124" s="14"/>
      <c r="AC124" s="14"/>
      <c r="AD124" s="14"/>
      <c r="AE124" s="14"/>
      <c r="AF124" s="14"/>
      <c r="AG124" s="14"/>
      <c r="AH124" s="14"/>
      <c r="AI124" s="14"/>
      <c r="AJ124" s="14"/>
      <c r="AK124" s="14"/>
      <c r="AL124" s="14"/>
      <c r="AM124" s="83"/>
    </row>
    <row r="125" spans="1:39">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c r="AA125" s="14"/>
      <c r="AB125" s="14"/>
      <c r="AC125" s="14"/>
      <c r="AD125" s="14"/>
      <c r="AE125" s="14"/>
      <c r="AF125" s="14"/>
      <c r="AG125" s="14"/>
      <c r="AH125" s="14"/>
      <c r="AI125" s="14"/>
      <c r="AJ125" s="14"/>
      <c r="AK125" s="14"/>
      <c r="AL125" s="14"/>
      <c r="AM125" s="83"/>
    </row>
    <row r="126" spans="1:39">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c r="AA126" s="14"/>
      <c r="AB126" s="14"/>
      <c r="AC126" s="14"/>
      <c r="AD126" s="14"/>
      <c r="AE126" s="14"/>
      <c r="AF126" s="14"/>
      <c r="AG126" s="14"/>
      <c r="AH126" s="14"/>
      <c r="AI126" s="14"/>
      <c r="AJ126" s="14"/>
      <c r="AK126" s="14"/>
      <c r="AL126" s="14"/>
      <c r="AM126" s="83"/>
    </row>
    <row r="127" spans="1:39">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c r="AA127" s="14"/>
      <c r="AB127" s="14"/>
      <c r="AC127" s="14"/>
      <c r="AD127" s="14"/>
      <c r="AE127" s="14"/>
      <c r="AF127" s="14"/>
      <c r="AG127" s="14"/>
      <c r="AH127" s="14"/>
      <c r="AI127" s="14"/>
      <c r="AJ127" s="14"/>
      <c r="AK127" s="14"/>
      <c r="AL127" s="14"/>
      <c r="AM127" s="83"/>
    </row>
    <row r="128" spans="1:39">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c r="AA128" s="14"/>
      <c r="AB128" s="14"/>
      <c r="AC128" s="14"/>
      <c r="AD128" s="14"/>
      <c r="AE128" s="14"/>
      <c r="AF128" s="14"/>
      <c r="AG128" s="14"/>
      <c r="AH128" s="14"/>
      <c r="AI128" s="14"/>
      <c r="AJ128" s="14"/>
      <c r="AK128" s="14"/>
      <c r="AL128" s="14"/>
      <c r="AM128" s="83"/>
    </row>
    <row r="129" spans="1:39">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c r="AA129" s="14"/>
      <c r="AB129" s="14"/>
      <c r="AC129" s="14"/>
      <c r="AD129" s="14"/>
      <c r="AE129" s="14"/>
      <c r="AF129" s="14"/>
      <c r="AG129" s="14"/>
      <c r="AH129" s="14"/>
      <c r="AI129" s="14"/>
      <c r="AJ129" s="14"/>
      <c r="AK129" s="14"/>
      <c r="AL129" s="14"/>
      <c r="AM129" s="83"/>
    </row>
    <row r="130" spans="1:39">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c r="AA130" s="14"/>
      <c r="AB130" s="14"/>
      <c r="AC130" s="14"/>
      <c r="AD130" s="14"/>
      <c r="AE130" s="14"/>
      <c r="AF130" s="14"/>
      <c r="AG130" s="14"/>
      <c r="AH130" s="14"/>
      <c r="AI130" s="14"/>
      <c r="AJ130" s="14"/>
      <c r="AK130" s="14"/>
      <c r="AL130" s="14"/>
      <c r="AM130" s="83"/>
    </row>
    <row r="131" spans="1:39">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c r="AA131" s="14"/>
      <c r="AB131" s="14"/>
      <c r="AC131" s="14"/>
      <c r="AD131" s="14"/>
      <c r="AE131" s="14"/>
      <c r="AF131" s="14"/>
      <c r="AG131" s="14"/>
      <c r="AH131" s="14"/>
      <c r="AI131" s="14"/>
      <c r="AJ131" s="14"/>
      <c r="AK131" s="14"/>
      <c r="AL131" s="14"/>
      <c r="AM131" s="83"/>
    </row>
    <row r="132" spans="1:39">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c r="AA132" s="14"/>
      <c r="AB132" s="14"/>
      <c r="AC132" s="14"/>
      <c r="AD132" s="14"/>
      <c r="AE132" s="14"/>
      <c r="AF132" s="14"/>
      <c r="AG132" s="14"/>
      <c r="AH132" s="14"/>
      <c r="AI132" s="14"/>
      <c r="AJ132" s="14"/>
      <c r="AK132" s="14"/>
      <c r="AL132" s="14"/>
      <c r="AM132" s="83"/>
    </row>
    <row r="133" spans="1:39">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c r="AA133" s="14"/>
      <c r="AB133" s="14"/>
      <c r="AC133" s="14"/>
      <c r="AD133" s="14"/>
      <c r="AE133" s="14"/>
      <c r="AF133" s="14"/>
      <c r="AG133" s="14"/>
      <c r="AH133" s="14"/>
      <c r="AI133" s="14"/>
      <c r="AJ133" s="14"/>
      <c r="AK133" s="14"/>
      <c r="AL133" s="14"/>
      <c r="AM133" s="83"/>
    </row>
    <row r="134" spans="1:39">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c r="AA134" s="14"/>
      <c r="AB134" s="14"/>
      <c r="AC134" s="14"/>
      <c r="AD134" s="14"/>
      <c r="AE134" s="14"/>
      <c r="AF134" s="14"/>
      <c r="AG134" s="14"/>
      <c r="AH134" s="14"/>
      <c r="AI134" s="14"/>
      <c r="AJ134" s="14"/>
      <c r="AK134" s="14"/>
      <c r="AL134" s="14"/>
      <c r="AM134" s="83"/>
    </row>
    <row r="135" spans="1:39">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c r="AA135" s="14"/>
      <c r="AB135" s="14"/>
      <c r="AC135" s="14"/>
      <c r="AD135" s="14"/>
      <c r="AE135" s="14"/>
      <c r="AF135" s="14"/>
      <c r="AG135" s="14"/>
      <c r="AH135" s="14"/>
      <c r="AI135" s="14"/>
      <c r="AJ135" s="14"/>
      <c r="AK135" s="14"/>
      <c r="AL135" s="14"/>
      <c r="AM135" s="83"/>
    </row>
    <row r="136" spans="1:39">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c r="AA136" s="14"/>
      <c r="AB136" s="14"/>
      <c r="AC136" s="14"/>
      <c r="AD136" s="14"/>
      <c r="AE136" s="14"/>
      <c r="AF136" s="14"/>
      <c r="AG136" s="14"/>
      <c r="AH136" s="14"/>
      <c r="AI136" s="14"/>
      <c r="AJ136" s="14"/>
      <c r="AK136" s="14"/>
      <c r="AL136" s="14"/>
      <c r="AM136" s="83"/>
    </row>
    <row r="137" spans="1:39">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c r="AA137" s="14"/>
      <c r="AB137" s="14"/>
      <c r="AC137" s="14"/>
      <c r="AD137" s="14"/>
      <c r="AE137" s="14"/>
      <c r="AF137" s="14"/>
      <c r="AG137" s="14"/>
      <c r="AH137" s="14"/>
      <c r="AI137" s="14"/>
      <c r="AJ137" s="14"/>
      <c r="AK137" s="14"/>
      <c r="AL137" s="14"/>
      <c r="AM137" s="83"/>
    </row>
    <row r="138" spans="1:39">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c r="AA138" s="14"/>
      <c r="AB138" s="14"/>
      <c r="AC138" s="14"/>
      <c r="AD138" s="14"/>
      <c r="AE138" s="14"/>
      <c r="AF138" s="14"/>
      <c r="AG138" s="14"/>
      <c r="AH138" s="14"/>
      <c r="AI138" s="14"/>
      <c r="AJ138" s="14"/>
      <c r="AK138" s="14"/>
      <c r="AL138" s="14"/>
      <c r="AM138" s="83"/>
    </row>
    <row r="139" spans="1:39">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c r="AA139" s="14"/>
      <c r="AB139" s="14"/>
      <c r="AC139" s="14"/>
      <c r="AD139" s="14"/>
      <c r="AE139" s="14"/>
      <c r="AF139" s="14"/>
      <c r="AG139" s="14"/>
      <c r="AH139" s="14"/>
      <c r="AI139" s="14"/>
      <c r="AJ139" s="14"/>
      <c r="AK139" s="14"/>
      <c r="AL139" s="14"/>
      <c r="AM139" s="83"/>
    </row>
    <row r="140" spans="1:39">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c r="AA140" s="14"/>
      <c r="AB140" s="14"/>
      <c r="AC140" s="14"/>
      <c r="AD140" s="14"/>
      <c r="AE140" s="14"/>
      <c r="AF140" s="14"/>
      <c r="AG140" s="14"/>
      <c r="AH140" s="14"/>
      <c r="AI140" s="14"/>
      <c r="AJ140" s="14"/>
      <c r="AK140" s="14"/>
      <c r="AL140" s="14"/>
      <c r="AM140" s="83"/>
    </row>
    <row r="141" spans="1:39">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c r="AA141" s="14"/>
      <c r="AB141" s="14"/>
      <c r="AC141" s="14"/>
      <c r="AD141" s="14"/>
      <c r="AE141" s="14"/>
      <c r="AF141" s="14"/>
      <c r="AG141" s="14"/>
      <c r="AH141" s="14"/>
      <c r="AI141" s="14"/>
      <c r="AJ141" s="14"/>
      <c r="AK141" s="14"/>
      <c r="AL141" s="14"/>
      <c r="AM141" s="83"/>
    </row>
    <row r="142" spans="1:39">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c r="AA142" s="14"/>
      <c r="AB142" s="14"/>
      <c r="AC142" s="14"/>
      <c r="AD142" s="14"/>
      <c r="AE142" s="14"/>
      <c r="AF142" s="14"/>
      <c r="AG142" s="14"/>
      <c r="AH142" s="14"/>
      <c r="AI142" s="14"/>
      <c r="AJ142" s="14"/>
      <c r="AK142" s="14"/>
      <c r="AL142" s="14"/>
      <c r="AM142" s="83"/>
    </row>
    <row r="143" spans="1:39">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c r="AA143" s="14"/>
      <c r="AB143" s="14"/>
      <c r="AC143" s="14"/>
      <c r="AD143" s="14"/>
      <c r="AE143" s="14"/>
      <c r="AF143" s="14"/>
      <c r="AG143" s="14"/>
      <c r="AH143" s="14"/>
      <c r="AI143" s="14"/>
      <c r="AJ143" s="14"/>
      <c r="AK143" s="14"/>
      <c r="AL143" s="14"/>
      <c r="AM143" s="83"/>
    </row>
    <row r="144" spans="1:39">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83"/>
    </row>
    <row r="145" spans="1:39">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c r="AA145" s="14"/>
      <c r="AB145" s="14"/>
      <c r="AC145" s="14"/>
      <c r="AD145" s="14"/>
      <c r="AE145" s="14"/>
      <c r="AF145" s="14"/>
      <c r="AG145" s="14"/>
      <c r="AH145" s="14"/>
      <c r="AI145" s="14"/>
      <c r="AJ145" s="14"/>
      <c r="AK145" s="14"/>
      <c r="AL145" s="14"/>
      <c r="AM145" s="83"/>
    </row>
    <row r="146" spans="1:39">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c r="AA146" s="14"/>
      <c r="AB146" s="14"/>
      <c r="AC146" s="14"/>
      <c r="AD146" s="14"/>
      <c r="AE146" s="14"/>
      <c r="AF146" s="14"/>
      <c r="AG146" s="14"/>
      <c r="AH146" s="14"/>
      <c r="AI146" s="14"/>
      <c r="AJ146" s="14"/>
      <c r="AK146" s="14"/>
      <c r="AL146" s="14"/>
      <c r="AM146" s="83"/>
    </row>
    <row r="147" spans="1:39">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c r="AA147" s="14"/>
      <c r="AB147" s="14"/>
      <c r="AC147" s="14"/>
      <c r="AD147" s="14"/>
      <c r="AE147" s="14"/>
      <c r="AF147" s="14"/>
      <c r="AG147" s="14"/>
      <c r="AH147" s="14"/>
      <c r="AI147" s="14"/>
      <c r="AJ147" s="14"/>
      <c r="AK147" s="14"/>
      <c r="AL147" s="14"/>
      <c r="AM147" s="83"/>
    </row>
    <row r="148" spans="1:39">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c r="AA148" s="14"/>
      <c r="AB148" s="14"/>
      <c r="AC148" s="14"/>
      <c r="AD148" s="14"/>
      <c r="AE148" s="14"/>
      <c r="AF148" s="14"/>
      <c r="AG148" s="14"/>
      <c r="AH148" s="14"/>
      <c r="AI148" s="14"/>
      <c r="AJ148" s="14"/>
      <c r="AK148" s="14"/>
      <c r="AL148" s="14"/>
      <c r="AM148" s="83"/>
    </row>
    <row r="149" spans="1:39">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c r="AA149" s="14"/>
      <c r="AB149" s="14"/>
      <c r="AC149" s="14"/>
      <c r="AD149" s="14"/>
      <c r="AE149" s="14"/>
      <c r="AF149" s="14"/>
      <c r="AG149" s="14"/>
      <c r="AH149" s="14"/>
      <c r="AI149" s="14"/>
      <c r="AJ149" s="14"/>
      <c r="AK149" s="14"/>
      <c r="AL149" s="14"/>
      <c r="AM149" s="83"/>
    </row>
    <row r="150" spans="1:39">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c r="AA150" s="14"/>
      <c r="AB150" s="14"/>
      <c r="AC150" s="14"/>
      <c r="AD150" s="14"/>
      <c r="AE150" s="14"/>
      <c r="AF150" s="14"/>
      <c r="AG150" s="14"/>
      <c r="AH150" s="14"/>
      <c r="AI150" s="14"/>
      <c r="AJ150" s="14"/>
      <c r="AK150" s="14"/>
      <c r="AL150" s="14"/>
      <c r="AM150" s="83"/>
    </row>
    <row r="151" spans="1:39">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c r="AA151" s="14"/>
      <c r="AB151" s="14"/>
      <c r="AC151" s="14"/>
      <c r="AD151" s="14"/>
      <c r="AE151" s="14"/>
      <c r="AF151" s="14"/>
      <c r="AG151" s="14"/>
      <c r="AH151" s="14"/>
      <c r="AI151" s="14"/>
      <c r="AJ151" s="14"/>
      <c r="AK151" s="14"/>
      <c r="AL151" s="14"/>
      <c r="AM151" s="83"/>
    </row>
    <row r="152" spans="1:39">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c r="AA152" s="14"/>
      <c r="AB152" s="14"/>
      <c r="AC152" s="14"/>
      <c r="AD152" s="14"/>
      <c r="AE152" s="14"/>
      <c r="AF152" s="14"/>
      <c r="AG152" s="14"/>
      <c r="AH152" s="14"/>
      <c r="AI152" s="14"/>
      <c r="AJ152" s="14"/>
      <c r="AK152" s="14"/>
      <c r="AL152" s="14"/>
      <c r="AM152" s="83"/>
    </row>
    <row r="153" spans="1:39">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c r="AA153" s="14"/>
      <c r="AB153" s="14"/>
      <c r="AC153" s="14"/>
      <c r="AD153" s="14"/>
      <c r="AE153" s="14"/>
      <c r="AF153" s="14"/>
      <c r="AG153" s="14"/>
      <c r="AH153" s="14"/>
      <c r="AI153" s="14"/>
      <c r="AJ153" s="14"/>
      <c r="AK153" s="14"/>
      <c r="AL153" s="14"/>
      <c r="AM153" s="83"/>
    </row>
    <row r="154" spans="1:39">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c r="AA154" s="14"/>
      <c r="AB154" s="14"/>
      <c r="AC154" s="14"/>
      <c r="AD154" s="14"/>
      <c r="AE154" s="14"/>
      <c r="AF154" s="14"/>
      <c r="AG154" s="14"/>
      <c r="AH154" s="14"/>
      <c r="AI154" s="14"/>
      <c r="AJ154" s="14"/>
      <c r="AK154" s="14"/>
      <c r="AL154" s="14"/>
      <c r="AM154" s="83"/>
    </row>
    <row r="155" spans="1:39">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c r="AD155" s="14"/>
      <c r="AE155" s="14"/>
      <c r="AF155" s="14"/>
      <c r="AG155" s="14"/>
      <c r="AH155" s="14"/>
      <c r="AI155" s="14"/>
      <c r="AJ155" s="14"/>
      <c r="AK155" s="14"/>
      <c r="AL155" s="14"/>
      <c r="AM155" s="83"/>
    </row>
    <row r="156" spans="1:39">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c r="AD156" s="14"/>
      <c r="AE156" s="14"/>
      <c r="AF156" s="14"/>
      <c r="AG156" s="14"/>
      <c r="AH156" s="14"/>
      <c r="AI156" s="14"/>
      <c r="AJ156" s="14"/>
      <c r="AK156" s="14"/>
      <c r="AL156" s="14"/>
      <c r="AM156" s="83"/>
    </row>
    <row r="157" spans="1:39">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c r="AD157" s="14"/>
      <c r="AE157" s="14"/>
      <c r="AF157" s="14"/>
      <c r="AG157" s="14"/>
      <c r="AH157" s="14"/>
      <c r="AI157" s="14"/>
      <c r="AJ157" s="14"/>
      <c r="AK157" s="14"/>
      <c r="AL157" s="14"/>
      <c r="AM157" s="83"/>
    </row>
    <row r="158" spans="1:39">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c r="AD158" s="14"/>
      <c r="AE158" s="14"/>
      <c r="AF158" s="14"/>
      <c r="AG158" s="14"/>
      <c r="AH158" s="14"/>
      <c r="AI158" s="14"/>
      <c r="AJ158" s="14"/>
      <c r="AK158" s="14"/>
      <c r="AL158" s="14"/>
      <c r="AM158" s="83"/>
    </row>
    <row r="159" spans="1:39">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c r="AD159" s="14"/>
      <c r="AE159" s="14"/>
      <c r="AF159" s="14"/>
      <c r="AG159" s="14"/>
      <c r="AH159" s="14"/>
      <c r="AI159" s="14"/>
      <c r="AJ159" s="14"/>
      <c r="AK159" s="14"/>
      <c r="AL159" s="14"/>
      <c r="AM159" s="83"/>
    </row>
    <row r="160" spans="1:39">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c r="AD160" s="14"/>
      <c r="AE160" s="14"/>
      <c r="AF160" s="14"/>
      <c r="AG160" s="14"/>
      <c r="AH160" s="14"/>
      <c r="AI160" s="14"/>
      <c r="AJ160" s="14"/>
      <c r="AK160" s="14"/>
      <c r="AL160" s="14"/>
      <c r="AM160" s="83"/>
    </row>
    <row r="161" spans="1:39">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c r="AD161" s="14"/>
      <c r="AE161" s="14"/>
      <c r="AF161" s="14"/>
      <c r="AG161" s="14"/>
      <c r="AH161" s="14"/>
      <c r="AI161" s="14"/>
      <c r="AJ161" s="14"/>
      <c r="AK161" s="14"/>
      <c r="AL161" s="14"/>
      <c r="AM161" s="83"/>
    </row>
    <row r="162" spans="1:39">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c r="AD162" s="14"/>
      <c r="AE162" s="14"/>
      <c r="AF162" s="14"/>
      <c r="AG162" s="14"/>
      <c r="AH162" s="14"/>
      <c r="AI162" s="14"/>
      <c r="AJ162" s="14"/>
      <c r="AK162" s="14"/>
      <c r="AL162" s="14"/>
      <c r="AM162" s="83"/>
    </row>
    <row r="163" spans="1:39">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c r="AD163" s="14"/>
      <c r="AE163" s="14"/>
      <c r="AF163" s="14"/>
      <c r="AG163" s="14"/>
      <c r="AH163" s="14"/>
      <c r="AI163" s="14"/>
      <c r="AJ163" s="14"/>
      <c r="AK163" s="14"/>
      <c r="AL163" s="14"/>
      <c r="AM163" s="83"/>
    </row>
    <row r="164" spans="1:39">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c r="AD164" s="14"/>
      <c r="AE164" s="14"/>
      <c r="AF164" s="14"/>
      <c r="AG164" s="14"/>
      <c r="AH164" s="14"/>
      <c r="AI164" s="14"/>
      <c r="AJ164" s="14"/>
      <c r="AK164" s="14"/>
      <c r="AL164" s="14"/>
      <c r="AM164" s="83"/>
    </row>
    <row r="165" spans="1:39">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c r="AD165" s="14"/>
      <c r="AE165" s="14"/>
      <c r="AF165" s="14"/>
      <c r="AG165" s="14"/>
      <c r="AH165" s="14"/>
      <c r="AI165" s="14"/>
      <c r="AJ165" s="14"/>
      <c r="AK165" s="14"/>
      <c r="AL165" s="14"/>
      <c r="AM165" s="83"/>
    </row>
    <row r="166" spans="1:39">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c r="AD166" s="14"/>
      <c r="AE166" s="14"/>
      <c r="AF166" s="14"/>
      <c r="AG166" s="14"/>
      <c r="AH166" s="14"/>
      <c r="AI166" s="14"/>
      <c r="AJ166" s="14"/>
      <c r="AK166" s="14"/>
      <c r="AL166" s="14"/>
      <c r="AM166" s="83"/>
    </row>
    <row r="167" spans="1:39">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c r="AD167" s="14"/>
      <c r="AE167" s="14"/>
      <c r="AF167" s="14"/>
      <c r="AG167" s="14"/>
      <c r="AH167" s="14"/>
      <c r="AI167" s="14"/>
      <c r="AJ167" s="14"/>
      <c r="AK167" s="14"/>
      <c r="AL167" s="14"/>
      <c r="AM167" s="83"/>
    </row>
    <row r="168" spans="1:39">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c r="AD168" s="14"/>
      <c r="AE168" s="14"/>
      <c r="AF168" s="14"/>
      <c r="AG168" s="14"/>
      <c r="AH168" s="14"/>
      <c r="AI168" s="14"/>
      <c r="AJ168" s="14"/>
      <c r="AK168" s="14"/>
      <c r="AL168" s="14"/>
      <c r="AM168" s="83"/>
    </row>
  </sheetData>
  <sheetProtection algorithmName="SHA-512" hashValue="a66oc8Tth/iO2cMKO37Huda9uArDLkma4LjQUQN2MeRY1ZWvkI/bXNEFx41aM4JAjPlfjGcLpI2/kx74KyoJSg==" saltValue="8R55Q1y17IWOmA4hU0QzQw==" spinCount="100000" sheet="1" objects="1" scenarios="1"/>
  <mergeCells count="29">
    <mergeCell ref="F37:T39"/>
    <mergeCell ref="B11:C11"/>
    <mergeCell ref="B12:C12"/>
    <mergeCell ref="B13:C13"/>
    <mergeCell ref="B14:C14"/>
    <mergeCell ref="B15:C15"/>
    <mergeCell ref="B17:C17"/>
    <mergeCell ref="B18:C18"/>
    <mergeCell ref="B19:C19"/>
    <mergeCell ref="B20:C20"/>
    <mergeCell ref="B21:C21"/>
    <mergeCell ref="B22:C22"/>
    <mergeCell ref="B24:C24"/>
    <mergeCell ref="B25:C25"/>
    <mergeCell ref="B26:C26"/>
    <mergeCell ref="B27:C27"/>
    <mergeCell ref="B29:C29"/>
    <mergeCell ref="B30:C30"/>
    <mergeCell ref="B31:C31"/>
    <mergeCell ref="B32:C32"/>
    <mergeCell ref="B33:C33"/>
    <mergeCell ref="B40:C40"/>
    <mergeCell ref="B41:C41"/>
    <mergeCell ref="B42:C42"/>
    <mergeCell ref="B34:C34"/>
    <mergeCell ref="B35:C35"/>
    <mergeCell ref="B36:C36"/>
    <mergeCell ref="B37:C37"/>
    <mergeCell ref="B38:C38"/>
  </mergeCells>
  <conditionalFormatting sqref="A44:C49">
    <cfRule type="expression" dxfId="33" priority="111">
      <formula>$B44=""</formula>
    </cfRule>
  </conditionalFormatting>
  <conditionalFormatting sqref="A50:C50">
    <cfRule type="expression" dxfId="31" priority="113">
      <formula>$B50=""</formula>
    </cfRule>
  </conditionalFormatting>
  <hyperlinks>
    <hyperlink ref="D1" location="Guide" display="Guide" xr:uid="{00000000-0004-0000-0A00-000000000000}"/>
    <hyperlink ref="D2" location="Input" display="Input" xr:uid="{00000000-0004-0000-0A00-000001000000}"/>
  </hyperlinks>
  <pageMargins left="0.7" right="0.7" top="0.75" bottom="0.75" header="0.3" footer="0.3"/>
  <pageSetup paperSize="9" scale="52" orientation="landscape" r:id="rId1"/>
  <headerFooter>
    <oddFooter>&amp;LNova Scotia Exploration Economics Model&amp;Rwww.indeva.com</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10" id="{9D05FF75-A6D1-4143-92E4-E1B12BDA866E}">
            <xm:f>Lists!$N46=Lists!$P$54</xm:f>
            <x14:dxf>
              <fill>
                <patternFill>
                  <bgColor theme="2"/>
                </patternFill>
              </fill>
              <border>
                <left style="thin">
                  <color auto="1"/>
                </left>
                <right style="thin">
                  <color auto="1"/>
                </right>
                <top style="thin">
                  <color auto="1"/>
                </top>
                <bottom style="thin">
                  <color auto="1"/>
                </bottom>
                <vertical/>
                <horizontal/>
              </border>
            </x14:dxf>
          </x14:cfRule>
          <xm:sqref>A44:C49</xm:sqref>
        </x14:conditionalFormatting>
        <x14:conditionalFormatting xmlns:xm="http://schemas.microsoft.com/office/excel/2006/main">
          <x14:cfRule type="expression" priority="112" id="{9D05FF75-A6D1-4143-92E4-E1B12BDA866E}">
            <xm:f>Lists!$N53=Lists!$P$54</xm:f>
            <x14:dxf>
              <fill>
                <patternFill>
                  <bgColor theme="2"/>
                </patternFill>
              </fill>
              <border>
                <left style="thin">
                  <color auto="1"/>
                </left>
                <right style="thin">
                  <color auto="1"/>
                </right>
                <top style="thin">
                  <color auto="1"/>
                </top>
                <bottom style="thin">
                  <color auto="1"/>
                </bottom>
                <vertical/>
                <horizontal/>
              </border>
            </x14:dxf>
          </x14:cfRule>
          <xm:sqref>A50:C50</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4">
    <tabColor rgb="FFFF0000"/>
  </sheetPr>
  <dimension ref="A1:W89"/>
  <sheetViews>
    <sheetView topLeftCell="C1" workbookViewId="0">
      <selection activeCell="G14" sqref="G14"/>
    </sheetView>
  </sheetViews>
  <sheetFormatPr defaultRowHeight="15"/>
  <cols>
    <col min="4" max="4" width="8.5703125" customWidth="1"/>
    <col min="5" max="5" width="9.140625" hidden="1" customWidth="1"/>
    <col min="6" max="6" width="23.42578125" customWidth="1"/>
    <col min="7" max="7" width="9.140625" customWidth="1"/>
  </cols>
  <sheetData>
    <row r="1" spans="1:23">
      <c r="A1" s="9"/>
      <c r="B1" s="9"/>
      <c r="C1" s="9"/>
      <c r="D1" s="9"/>
      <c r="E1" s="9"/>
      <c r="F1" s="9"/>
      <c r="G1" s="9"/>
      <c r="H1" s="9"/>
      <c r="I1" s="15"/>
      <c r="J1" s="15"/>
      <c r="K1" s="15"/>
      <c r="L1" s="15"/>
      <c r="M1" s="15"/>
      <c r="N1" s="15"/>
      <c r="O1" s="15"/>
      <c r="P1" s="15"/>
      <c r="Q1" s="15"/>
      <c r="R1" s="15"/>
      <c r="S1" s="15"/>
      <c r="T1" s="15"/>
      <c r="U1" s="15"/>
      <c r="V1" s="15"/>
      <c r="W1" s="15"/>
    </row>
    <row r="2" spans="1:23" ht="15.75">
      <c r="A2" s="9"/>
      <c r="B2" s="9"/>
      <c r="C2" s="9"/>
      <c r="D2" s="9"/>
      <c r="E2" s="9"/>
      <c r="F2" s="9"/>
      <c r="G2" s="11"/>
      <c r="H2" s="16" t="s">
        <v>115</v>
      </c>
      <c r="I2" s="16" t="s">
        <v>116</v>
      </c>
      <c r="J2" s="15"/>
      <c r="K2" s="15"/>
      <c r="L2" s="15"/>
      <c r="M2" s="15"/>
      <c r="N2" s="15"/>
      <c r="O2" s="15"/>
      <c r="P2" s="15"/>
      <c r="Q2" s="15"/>
      <c r="R2" s="15"/>
      <c r="S2" s="15"/>
      <c r="T2" s="15"/>
      <c r="U2" s="15"/>
      <c r="V2" s="15"/>
      <c r="W2" s="15"/>
    </row>
    <row r="3" spans="1:23" ht="15.75">
      <c r="A3" s="9"/>
      <c r="B3" s="9"/>
      <c r="C3" s="9"/>
      <c r="D3" s="9"/>
      <c r="E3" s="9"/>
      <c r="F3" s="46" t="s">
        <v>616</v>
      </c>
      <c r="H3" s="47">
        <f>1+Sensitivities!B3</f>
        <v>0.8</v>
      </c>
      <c r="I3" s="47">
        <f>1+Sensitivities!C3</f>
        <v>1.4</v>
      </c>
      <c r="J3" s="15"/>
      <c r="K3" s="15"/>
      <c r="L3" s="15"/>
      <c r="M3" s="15"/>
      <c r="N3" s="15"/>
      <c r="O3" s="15"/>
      <c r="P3" s="15"/>
      <c r="Q3" s="15"/>
      <c r="R3" s="15"/>
      <c r="S3" s="15"/>
      <c r="T3" s="15"/>
      <c r="U3" s="15"/>
      <c r="V3" s="15"/>
      <c r="W3" s="15"/>
    </row>
    <row r="4" spans="1:23" ht="15.75">
      <c r="A4" s="9"/>
      <c r="B4" s="9"/>
      <c r="C4" s="9"/>
      <c r="D4" s="9"/>
      <c r="E4" s="9"/>
      <c r="F4" s="48" t="s">
        <v>632</v>
      </c>
      <c r="G4" s="49">
        <f ca="1">Input!I32</f>
        <v>4570.9902501042889</v>
      </c>
      <c r="H4" s="17">
        <f t="dataTable" ref="H4:I7" dt2D="0" dtr="1" r1="F41" ca="1"/>
        <v>3374.1780597860998</v>
      </c>
      <c r="I4" s="17">
        <v>7091.287210518447</v>
      </c>
      <c r="J4" s="15"/>
      <c r="K4" s="15"/>
      <c r="L4" s="15"/>
      <c r="M4" s="15"/>
      <c r="N4" s="15"/>
      <c r="O4" s="15"/>
      <c r="P4" s="15"/>
      <c r="Q4" s="15"/>
      <c r="R4" s="15"/>
      <c r="S4" s="15"/>
      <c r="T4" s="15"/>
      <c r="U4" s="15"/>
      <c r="V4" s="15"/>
      <c r="W4" s="15"/>
    </row>
    <row r="5" spans="1:23" ht="15.75">
      <c r="A5" s="9"/>
      <c r="B5" s="9"/>
      <c r="C5" s="9"/>
      <c r="D5" s="9"/>
      <c r="E5" s="9"/>
      <c r="F5" s="48" t="s">
        <v>7</v>
      </c>
      <c r="G5" s="49">
        <f ca="1">Input!I33</f>
        <v>0.29234760916498287</v>
      </c>
      <c r="H5" s="50">
        <v>0.25653011890402827</v>
      </c>
      <c r="I5" s="50">
        <v>0.35244916498819484</v>
      </c>
      <c r="J5" s="15"/>
      <c r="K5" s="15"/>
      <c r="L5" s="15"/>
      <c r="M5" s="15"/>
      <c r="N5" s="15"/>
      <c r="O5" s="15"/>
      <c r="P5" s="15"/>
      <c r="Q5" s="15"/>
      <c r="R5" s="15"/>
      <c r="S5" s="15"/>
      <c r="T5" s="15"/>
      <c r="U5" s="15"/>
      <c r="V5" s="15"/>
      <c r="W5" s="15"/>
    </row>
    <row r="6" spans="1:23" ht="15.75">
      <c r="A6" s="9"/>
      <c r="B6" s="9"/>
      <c r="C6" s="9"/>
      <c r="D6" s="9"/>
      <c r="E6" s="9"/>
      <c r="F6" s="48" t="s">
        <v>8</v>
      </c>
      <c r="G6" s="49">
        <f ca="1">Input!I34</f>
        <v>0.90558686462766402</v>
      </c>
      <c r="H6" s="52">
        <v>0.73496524259808782</v>
      </c>
      <c r="I6" s="52">
        <v>1.23909144547766</v>
      </c>
      <c r="J6" s="15"/>
      <c r="K6" s="15"/>
      <c r="L6" s="15"/>
      <c r="M6" s="15"/>
      <c r="N6" s="15"/>
      <c r="O6" s="15"/>
      <c r="P6" s="15"/>
      <c r="Q6" s="15"/>
      <c r="R6" s="15"/>
      <c r="S6" s="15"/>
      <c r="T6" s="15"/>
      <c r="U6" s="15"/>
      <c r="V6" s="15"/>
      <c r="W6" s="15"/>
    </row>
    <row r="7" spans="1:23" ht="15.75">
      <c r="A7" s="9"/>
      <c r="B7" s="9"/>
      <c r="C7" s="9"/>
      <c r="D7" s="9"/>
      <c r="E7" s="9"/>
      <c r="F7" s="48" t="s">
        <v>9</v>
      </c>
      <c r="G7" s="49" t="str">
        <f ca="1">Input!I35</f>
        <v>NA</v>
      </c>
      <c r="H7" s="52" t="str">
        <v>NA</v>
      </c>
      <c r="I7" s="52" t="str">
        <v>NA</v>
      </c>
      <c r="J7" s="15"/>
      <c r="K7" s="15"/>
      <c r="L7" s="15"/>
      <c r="M7" s="15"/>
      <c r="N7" s="15"/>
      <c r="O7" s="15"/>
      <c r="P7" s="15"/>
      <c r="Q7" s="15"/>
      <c r="R7" s="15"/>
      <c r="S7" s="15"/>
      <c r="T7" s="15"/>
      <c r="U7" s="15"/>
      <c r="V7" s="15"/>
      <c r="W7" s="15"/>
    </row>
    <row r="8" spans="1:23" ht="15.75">
      <c r="A8" s="9"/>
      <c r="B8" s="9"/>
      <c r="C8" s="9"/>
      <c r="D8" s="9"/>
      <c r="E8" s="9"/>
      <c r="F8" s="53" t="s">
        <v>617</v>
      </c>
      <c r="H8" s="47">
        <f>1+Sensitivities!B5</f>
        <v>0.7</v>
      </c>
      <c r="I8" s="47">
        <f>1+Sensitivities!C5</f>
        <v>1.3</v>
      </c>
      <c r="J8" s="15"/>
      <c r="K8" s="15"/>
      <c r="L8" s="15"/>
      <c r="M8" s="15"/>
      <c r="N8" s="15"/>
      <c r="O8" s="15"/>
      <c r="P8" s="15"/>
      <c r="Q8" s="15"/>
      <c r="R8" s="15"/>
      <c r="S8" s="15"/>
      <c r="T8" s="15"/>
      <c r="U8" s="15"/>
      <c r="V8" s="15"/>
      <c r="W8" s="15"/>
    </row>
    <row r="9" spans="1:23" ht="15.75">
      <c r="A9" s="9"/>
      <c r="B9" s="9"/>
      <c r="C9" s="9"/>
      <c r="D9" s="9"/>
      <c r="E9" s="9"/>
      <c r="F9" s="48" t="s">
        <v>632</v>
      </c>
      <c r="G9" s="49">
        <f ca="1">Input!I32</f>
        <v>4570.9902501042889</v>
      </c>
      <c r="H9" s="17">
        <f t="dataTable" ref="H9:I12" dt2D="0" dtr="1" r1="F42" ca="1"/>
        <v>4340.2868817895633</v>
      </c>
      <c r="I9" s="17">
        <v>4821.5515816997759</v>
      </c>
      <c r="J9" s="15"/>
      <c r="K9" s="15"/>
      <c r="L9" s="15"/>
      <c r="M9" s="15"/>
      <c r="N9" s="15"/>
      <c r="O9" s="15"/>
      <c r="P9" s="15"/>
      <c r="Q9" s="15"/>
      <c r="R9" s="15"/>
      <c r="S9" s="15"/>
      <c r="T9" s="15"/>
      <c r="U9" s="15"/>
      <c r="V9" s="15"/>
      <c r="W9" s="15"/>
    </row>
    <row r="10" spans="1:23" ht="15.75">
      <c r="A10" s="9"/>
      <c r="B10" s="9"/>
      <c r="C10" s="9"/>
      <c r="D10" s="9"/>
      <c r="E10" s="9"/>
      <c r="F10" s="48" t="s">
        <v>7</v>
      </c>
      <c r="G10" s="49">
        <f ca="1">Input!I33</f>
        <v>0.29234760916498287</v>
      </c>
      <c r="H10" s="50">
        <v>0.28503046881595745</v>
      </c>
      <c r="I10" s="50">
        <v>0.2995419988762788</v>
      </c>
      <c r="J10" s="15"/>
      <c r="K10" s="15"/>
      <c r="L10" s="15"/>
      <c r="M10" s="15"/>
      <c r="N10" s="15"/>
      <c r="O10" s="15"/>
      <c r="P10" s="15"/>
      <c r="Q10" s="15"/>
      <c r="R10" s="15"/>
      <c r="S10" s="15"/>
      <c r="T10" s="15"/>
      <c r="U10" s="15"/>
      <c r="V10" s="15"/>
      <c r="W10" s="15"/>
    </row>
    <row r="11" spans="1:23" ht="15.75">
      <c r="A11" s="9"/>
      <c r="B11" s="9"/>
      <c r="C11" s="9"/>
      <c r="D11" s="9"/>
      <c r="E11" s="9"/>
      <c r="F11" s="48" t="s">
        <v>8</v>
      </c>
      <c r="G11" s="49">
        <f ca="1">Input!I34</f>
        <v>0.90558686462766402</v>
      </c>
      <c r="H11" s="52">
        <v>0.85988080783473886</v>
      </c>
      <c r="I11" s="52">
        <v>0.95522710410778811</v>
      </c>
      <c r="J11" s="15"/>
      <c r="K11" s="15"/>
      <c r="L11" s="15"/>
      <c r="M11" s="15"/>
      <c r="N11" s="15"/>
      <c r="O11" s="15"/>
      <c r="P11" s="15"/>
      <c r="Q11" s="15"/>
      <c r="R11" s="15"/>
      <c r="S11" s="15"/>
      <c r="T11" s="15"/>
      <c r="U11" s="15"/>
      <c r="V11" s="15"/>
      <c r="W11" s="15"/>
    </row>
    <row r="12" spans="1:23" ht="15.75">
      <c r="A12" s="9"/>
      <c r="B12" s="9"/>
      <c r="C12" s="9"/>
      <c r="D12" s="9"/>
      <c r="E12" s="9"/>
      <c r="F12" s="48" t="s">
        <v>9</v>
      </c>
      <c r="G12" s="49" t="str">
        <f ca="1">Input!I35</f>
        <v>NA</v>
      </c>
      <c r="H12" s="52" t="str">
        <v>NA</v>
      </c>
      <c r="I12" s="52" t="str">
        <v>NA</v>
      </c>
      <c r="J12" s="15"/>
      <c r="K12" s="15"/>
      <c r="L12" s="15"/>
      <c r="M12" s="15"/>
      <c r="N12" s="15"/>
      <c r="O12" s="15"/>
      <c r="P12" s="15"/>
      <c r="Q12" s="15"/>
      <c r="R12" s="15"/>
      <c r="S12" s="15"/>
      <c r="T12" s="15"/>
      <c r="U12" s="15"/>
      <c r="V12" s="15"/>
      <c r="W12" s="15"/>
    </row>
    <row r="13" spans="1:23" ht="15.75">
      <c r="A13" s="9"/>
      <c r="B13" s="9"/>
      <c r="C13" s="9"/>
      <c r="D13" s="9"/>
      <c r="E13" s="9"/>
      <c r="F13" s="53" t="s">
        <v>618</v>
      </c>
      <c r="H13" s="76">
        <f>1+Sensitivities!B6</f>
        <v>0.75</v>
      </c>
      <c r="I13" s="76">
        <f>1+Sensitivities!C6</f>
        <v>1.3</v>
      </c>
      <c r="J13" s="15"/>
      <c r="K13" s="15"/>
      <c r="L13" s="15"/>
      <c r="M13" s="15"/>
      <c r="N13" s="15"/>
      <c r="O13" s="15"/>
      <c r="P13" s="15"/>
      <c r="Q13" s="15"/>
      <c r="R13" s="15"/>
      <c r="S13" s="15"/>
      <c r="T13" s="15"/>
      <c r="U13" s="15"/>
      <c r="V13" s="15"/>
      <c r="W13" s="15"/>
    </row>
    <row r="14" spans="1:23" ht="15.75">
      <c r="A14" s="9"/>
      <c r="B14" s="9"/>
      <c r="C14" s="9"/>
      <c r="D14" s="9"/>
      <c r="E14" s="9"/>
      <c r="F14" s="48" t="s">
        <v>632</v>
      </c>
      <c r="G14" s="49">
        <f ca="1">Input!I32</f>
        <v>4570.9902501042889</v>
      </c>
      <c r="H14" s="17">
        <f t="dataTable" ref="H14:I17" dt2D="0" dtr="1" r1="F46" ca="1"/>
        <v>4574.1756716618765</v>
      </c>
      <c r="I14" s="17">
        <v>4579.9942233097008</v>
      </c>
      <c r="J14" s="15"/>
      <c r="K14" s="15"/>
      <c r="L14" s="15"/>
      <c r="M14" s="15"/>
      <c r="N14" s="15"/>
      <c r="O14" s="15"/>
      <c r="P14" s="15"/>
      <c r="Q14" s="15"/>
      <c r="R14" s="15"/>
      <c r="S14" s="15"/>
      <c r="T14" s="15"/>
      <c r="U14" s="15"/>
      <c r="V14" s="15"/>
      <c r="W14" s="15"/>
    </row>
    <row r="15" spans="1:23" ht="15.75">
      <c r="A15" s="9"/>
      <c r="B15" s="9"/>
      <c r="C15" s="9"/>
      <c r="D15" s="9"/>
      <c r="E15" s="9"/>
      <c r="F15" s="48" t="s">
        <v>7</v>
      </c>
      <c r="G15" s="49">
        <f ca="1">Input!I33</f>
        <v>0.29234760916498287</v>
      </c>
      <c r="H15" s="50">
        <v>0.29653401766797632</v>
      </c>
      <c r="I15" s="50">
        <v>0.28780431103894416</v>
      </c>
      <c r="J15" s="15"/>
      <c r="K15" s="15"/>
      <c r="L15" s="15"/>
      <c r="M15" s="15"/>
      <c r="N15" s="15"/>
      <c r="O15" s="15"/>
      <c r="P15" s="15"/>
      <c r="Q15" s="15"/>
      <c r="R15" s="15"/>
      <c r="S15" s="15"/>
      <c r="T15" s="15"/>
      <c r="U15" s="15"/>
      <c r="V15" s="15"/>
      <c r="W15" s="15"/>
    </row>
    <row r="16" spans="1:23" ht="15.75">
      <c r="A16" s="9"/>
      <c r="B16" s="9"/>
      <c r="C16" s="9"/>
      <c r="D16" s="9"/>
      <c r="E16" s="9"/>
      <c r="F16" s="48" t="s">
        <v>8</v>
      </c>
      <c r="G16" s="49">
        <f ca="1">Input!I34</f>
        <v>0.90558686462766402</v>
      </c>
      <c r="H16" s="52">
        <v>0.91579302291256415</v>
      </c>
      <c r="I16" s="52">
        <v>0.89612734441293207</v>
      </c>
      <c r="J16" s="15"/>
      <c r="K16" s="15"/>
      <c r="L16" s="15"/>
      <c r="M16" s="15"/>
      <c r="N16" s="15"/>
      <c r="O16" s="15"/>
      <c r="P16" s="15"/>
      <c r="Q16" s="15"/>
      <c r="R16" s="15"/>
      <c r="S16" s="15"/>
      <c r="T16" s="15"/>
      <c r="U16" s="15"/>
      <c r="V16" s="15"/>
      <c r="W16" s="15"/>
    </row>
    <row r="17" spans="1:23" ht="15.75">
      <c r="A17" s="9"/>
      <c r="B17" s="9"/>
      <c r="C17" s="9"/>
      <c r="D17" s="9"/>
      <c r="E17" s="9"/>
      <c r="F17" s="48" t="s">
        <v>9</v>
      </c>
      <c r="G17" s="49" t="str">
        <f ca="1">Input!I35</f>
        <v>NA</v>
      </c>
      <c r="H17" s="52" t="str">
        <v>NA</v>
      </c>
      <c r="I17" s="52" t="str">
        <v>NA</v>
      </c>
      <c r="J17" s="15"/>
      <c r="K17" s="15"/>
      <c r="L17" s="15"/>
      <c r="M17" s="15"/>
      <c r="N17" s="15"/>
      <c r="O17" s="15"/>
      <c r="P17" s="15"/>
      <c r="Q17" s="15"/>
      <c r="R17" s="15"/>
      <c r="S17" s="15"/>
      <c r="T17" s="15"/>
      <c r="U17" s="15"/>
      <c r="V17" s="15"/>
      <c r="W17" s="15"/>
    </row>
    <row r="18" spans="1:23" ht="15.75">
      <c r="A18" s="9"/>
      <c r="B18" s="9"/>
      <c r="C18" s="9"/>
      <c r="D18" s="9"/>
      <c r="E18" s="9"/>
      <c r="F18" s="53" t="s">
        <v>619</v>
      </c>
      <c r="H18" s="47">
        <f>1+Sensitivities!B7</f>
        <v>0.75</v>
      </c>
      <c r="I18" s="47">
        <f>1+Sensitivities!C7</f>
        <v>1.3</v>
      </c>
      <c r="J18" s="15"/>
      <c r="K18" s="15"/>
      <c r="L18" s="15"/>
      <c r="M18" s="15"/>
      <c r="N18" s="15"/>
      <c r="O18" s="15"/>
      <c r="P18" s="15"/>
      <c r="Q18" s="15"/>
      <c r="R18" s="15"/>
      <c r="S18" s="15"/>
      <c r="T18" s="15"/>
      <c r="U18" s="15"/>
      <c r="V18" s="15"/>
      <c r="W18" s="15"/>
    </row>
    <row r="19" spans="1:23" ht="15.75">
      <c r="A19" s="9"/>
      <c r="B19" s="9"/>
      <c r="C19" s="9"/>
      <c r="D19" s="9"/>
      <c r="E19" s="9"/>
      <c r="F19" s="48" t="s">
        <v>632</v>
      </c>
      <c r="G19" s="49">
        <f ca="1">Input!I32</f>
        <v>4570.9902501042889</v>
      </c>
      <c r="H19" s="17">
        <f t="dataTable" ref="H19:I22" dt2D="0" dtr="1" r1="F43" ca="1"/>
        <v>5180.6941501585225</v>
      </c>
      <c r="I19" s="17">
        <v>3849.2429808802208</v>
      </c>
      <c r="J19" s="15"/>
      <c r="K19" s="15"/>
      <c r="L19" s="15"/>
      <c r="M19" s="15"/>
      <c r="N19" s="15"/>
      <c r="O19" s="15"/>
      <c r="P19" s="15"/>
      <c r="Q19" s="15"/>
      <c r="R19" s="15"/>
      <c r="S19" s="15"/>
      <c r="T19" s="15"/>
      <c r="U19" s="15"/>
      <c r="V19" s="15"/>
      <c r="W19" s="15"/>
    </row>
    <row r="20" spans="1:23" ht="15.75">
      <c r="A20" s="9"/>
      <c r="B20" s="9"/>
      <c r="C20" s="9"/>
      <c r="D20" s="9"/>
      <c r="E20" s="9"/>
      <c r="F20" s="48" t="s">
        <v>7</v>
      </c>
      <c r="G20" s="49">
        <f ca="1">Input!I33</f>
        <v>0.29234760916498287</v>
      </c>
      <c r="H20" s="50">
        <v>0.36434101048230683</v>
      </c>
      <c r="I20" s="50">
        <v>0.2339831552455402</v>
      </c>
      <c r="J20" s="15"/>
      <c r="K20" s="15"/>
      <c r="L20" s="15"/>
      <c r="M20" s="15"/>
      <c r="N20" s="15"/>
      <c r="O20" s="15"/>
      <c r="P20" s="15"/>
      <c r="Q20" s="15"/>
      <c r="R20" s="15"/>
      <c r="S20" s="15"/>
      <c r="T20" s="15"/>
      <c r="U20" s="15"/>
      <c r="V20" s="15"/>
      <c r="W20" s="15"/>
    </row>
    <row r="21" spans="1:23" ht="15.75">
      <c r="A21" s="9"/>
      <c r="B21" s="9"/>
      <c r="C21" s="9"/>
      <c r="D21" s="9"/>
      <c r="E21" s="9"/>
      <c r="F21" s="48" t="s">
        <v>8</v>
      </c>
      <c r="G21" s="49">
        <f ca="1">Input!I34</f>
        <v>0.90558686462766402</v>
      </c>
      <c r="H21" s="52">
        <v>1.3496898053792585</v>
      </c>
      <c r="I21" s="52">
        <v>0.59232986213545669</v>
      </c>
      <c r="J21" s="15"/>
      <c r="K21" s="15"/>
      <c r="L21" s="15"/>
      <c r="M21" s="15"/>
      <c r="N21" s="15"/>
      <c r="O21" s="15"/>
      <c r="P21" s="15"/>
      <c r="Q21" s="15"/>
      <c r="R21" s="15"/>
      <c r="S21" s="15"/>
      <c r="T21" s="15"/>
      <c r="U21" s="15"/>
      <c r="V21" s="15"/>
      <c r="W21" s="15"/>
    </row>
    <row r="22" spans="1:23" ht="15.75">
      <c r="A22" s="9"/>
      <c r="B22" s="9"/>
      <c r="C22" s="9"/>
      <c r="D22" s="9"/>
      <c r="E22" s="9"/>
      <c r="F22" s="48" t="s">
        <v>9</v>
      </c>
      <c r="G22" s="49" t="str">
        <f ca="1">Input!I35</f>
        <v>NA</v>
      </c>
      <c r="H22" s="52" t="str">
        <v>NA</v>
      </c>
      <c r="I22" s="52" t="str">
        <v>NA</v>
      </c>
      <c r="J22" s="15"/>
      <c r="K22" s="15"/>
      <c r="L22" s="15"/>
      <c r="M22" s="15"/>
      <c r="N22" s="15"/>
      <c r="O22" s="15"/>
      <c r="P22" s="15"/>
      <c r="Q22" s="15"/>
      <c r="R22" s="15"/>
      <c r="S22" s="15"/>
      <c r="T22" s="15"/>
      <c r="U22" s="15"/>
      <c r="V22" s="15"/>
      <c r="W22" s="15"/>
    </row>
    <row r="23" spans="1:23" ht="15.75">
      <c r="A23" s="9"/>
      <c r="B23" s="9"/>
      <c r="C23" s="9"/>
      <c r="D23" s="9"/>
      <c r="E23" s="9"/>
      <c r="F23" s="53" t="s">
        <v>620</v>
      </c>
      <c r="H23" s="47">
        <f>1+Sensitivities!B8</f>
        <v>0.5</v>
      </c>
      <c r="I23" s="47">
        <f>1+Sensitivities!C8</f>
        <v>1.5</v>
      </c>
      <c r="J23" s="15"/>
      <c r="K23" s="15"/>
      <c r="L23" s="15"/>
      <c r="M23" s="15"/>
      <c r="N23" s="15"/>
      <c r="O23" s="15"/>
      <c r="P23" s="15"/>
      <c r="Q23" s="15"/>
      <c r="R23" s="15"/>
      <c r="S23" s="15"/>
      <c r="T23" s="15"/>
      <c r="U23" s="15"/>
      <c r="V23" s="15"/>
      <c r="W23" s="15"/>
    </row>
    <row r="24" spans="1:23" ht="15.75">
      <c r="A24" s="9"/>
      <c r="B24" s="9"/>
      <c r="C24" s="9"/>
      <c r="D24" s="9"/>
      <c r="E24" s="9"/>
      <c r="F24" s="48" t="s">
        <v>632</v>
      </c>
      <c r="G24" s="51">
        <f ca="1">Input!I32</f>
        <v>4570.9902501042889</v>
      </c>
      <c r="H24" s="17">
        <f t="dataTable" ref="H24:I27" dt2D="0" dtr="1" r1="F44" ca="1"/>
        <v>5136.6315544153131</v>
      </c>
      <c r="I24" s="17">
        <v>4037.6013335402258</v>
      </c>
      <c r="J24" s="15"/>
      <c r="K24" s="15"/>
      <c r="L24" s="15"/>
      <c r="M24" s="15"/>
      <c r="N24" s="15"/>
      <c r="O24" s="15"/>
      <c r="P24" s="15"/>
      <c r="Q24" s="15"/>
      <c r="R24" s="15"/>
      <c r="S24" s="15"/>
      <c r="T24" s="15"/>
      <c r="U24" s="15"/>
      <c r="V24" s="15"/>
      <c r="W24" s="15"/>
    </row>
    <row r="25" spans="1:23" ht="15.75">
      <c r="A25" s="9"/>
      <c r="B25" s="9"/>
      <c r="C25" s="9"/>
      <c r="D25" s="9"/>
      <c r="E25" s="9"/>
      <c r="F25" s="48" t="s">
        <v>7</v>
      </c>
      <c r="G25" s="51">
        <f ca="1">Input!I33</f>
        <v>0.29234760916498287</v>
      </c>
      <c r="H25" s="54">
        <v>0.30964007534096488</v>
      </c>
      <c r="I25" s="54">
        <v>0.27646626318185608</v>
      </c>
      <c r="J25" s="15"/>
      <c r="K25" s="15"/>
      <c r="L25" s="15"/>
      <c r="M25" s="15"/>
      <c r="N25" s="15"/>
      <c r="O25" s="15"/>
      <c r="P25" s="15"/>
      <c r="Q25" s="15"/>
      <c r="R25" s="15"/>
      <c r="S25" s="15"/>
      <c r="T25" s="15"/>
      <c r="U25" s="15"/>
      <c r="V25" s="15"/>
      <c r="W25" s="15"/>
    </row>
    <row r="26" spans="1:23" ht="15.75">
      <c r="A26" s="9"/>
      <c r="B26" s="9"/>
      <c r="C26" s="9"/>
      <c r="D26" s="9"/>
      <c r="E26" s="9"/>
      <c r="F26" s="48" t="s">
        <v>8</v>
      </c>
      <c r="G26" s="51">
        <f ca="1">Input!I34</f>
        <v>0.90558686462766402</v>
      </c>
      <c r="H26" s="52">
        <v>1.017649526599703</v>
      </c>
      <c r="I26" s="52">
        <v>0.79991392065947764</v>
      </c>
      <c r="J26" s="15"/>
      <c r="K26" s="15"/>
      <c r="L26" s="15"/>
      <c r="M26" s="15"/>
      <c r="N26" s="15"/>
      <c r="O26" s="15"/>
      <c r="P26" s="15"/>
      <c r="Q26" s="15"/>
      <c r="R26" s="15"/>
      <c r="S26" s="15"/>
      <c r="T26" s="15"/>
      <c r="U26" s="15"/>
      <c r="V26" s="15"/>
      <c r="W26" s="15"/>
    </row>
    <row r="27" spans="1:23" ht="15.75">
      <c r="A27" s="9"/>
      <c r="B27" s="9"/>
      <c r="C27" s="9"/>
      <c r="D27" s="9"/>
      <c r="E27" s="9"/>
      <c r="F27" s="48" t="s">
        <v>9</v>
      </c>
      <c r="G27" s="51" t="str">
        <f ca="1">Input!I35</f>
        <v>NA</v>
      </c>
      <c r="H27" s="52" t="str">
        <v>NA</v>
      </c>
      <c r="I27" s="52" t="str">
        <v>NA</v>
      </c>
      <c r="J27" s="15"/>
      <c r="K27" s="15"/>
      <c r="L27" s="15"/>
      <c r="M27" s="15"/>
      <c r="N27" s="15"/>
      <c r="O27" s="15"/>
      <c r="P27" s="15"/>
      <c r="Q27" s="15"/>
      <c r="R27" s="15"/>
      <c r="S27" s="15"/>
      <c r="T27" s="15"/>
      <c r="U27" s="15"/>
      <c r="V27" s="15"/>
      <c r="W27" s="15"/>
    </row>
    <row r="28" spans="1:23" ht="15.75">
      <c r="A28" s="9"/>
      <c r="B28" s="9"/>
      <c r="C28" s="9"/>
      <c r="D28" s="9"/>
      <c r="E28" s="9"/>
      <c r="F28" s="53" t="s">
        <v>621</v>
      </c>
      <c r="G28" s="49"/>
      <c r="H28" s="47">
        <f>1+Sensitivities!B9</f>
        <v>0.8</v>
      </c>
      <c r="I28" s="47">
        <f>1+Sensitivities!C9</f>
        <v>1.3</v>
      </c>
      <c r="J28" s="9"/>
      <c r="K28" s="9"/>
      <c r="L28" s="9"/>
      <c r="M28" s="9"/>
      <c r="N28" s="9"/>
      <c r="O28" s="9"/>
      <c r="P28" s="9"/>
      <c r="Q28" s="9"/>
      <c r="R28" s="9"/>
      <c r="S28" s="9"/>
      <c r="T28" s="9"/>
      <c r="U28" s="9"/>
      <c r="V28" s="9"/>
      <c r="W28" s="9"/>
    </row>
    <row r="29" spans="1:23" ht="15.75">
      <c r="A29" s="9"/>
      <c r="B29" s="9"/>
      <c r="C29" s="9"/>
      <c r="D29" s="9"/>
      <c r="E29" s="9"/>
      <c r="F29" s="48" t="s">
        <v>632</v>
      </c>
      <c r="G29" s="51">
        <f ca="1">Input!I32</f>
        <v>4570.9902501042889</v>
      </c>
      <c r="H29" s="17">
        <f t="dataTable" ref="H29:I32" dt2D="0" dtr="1" r1="F45" ca="1"/>
        <v>3656.7922000834315</v>
      </c>
      <c r="I29" s="17">
        <v>4570.9902501042889</v>
      </c>
      <c r="J29" s="9"/>
      <c r="K29" s="9"/>
      <c r="L29" s="9"/>
      <c r="M29" s="9"/>
      <c r="N29" s="9"/>
      <c r="O29" s="9"/>
      <c r="P29" s="9"/>
      <c r="Q29" s="9"/>
      <c r="R29" s="9"/>
      <c r="S29" s="9"/>
      <c r="T29" s="9"/>
      <c r="U29" s="9"/>
      <c r="V29" s="9"/>
      <c r="W29" s="9"/>
    </row>
    <row r="30" spans="1:23" ht="15.75">
      <c r="A30" s="9"/>
      <c r="B30" s="9"/>
      <c r="C30" s="9"/>
      <c r="D30" s="9"/>
      <c r="E30" s="9"/>
      <c r="F30" s="48" t="s">
        <v>7</v>
      </c>
      <c r="G30" s="51">
        <f ca="1">Input!I33</f>
        <v>0.29234760916498287</v>
      </c>
      <c r="H30" s="54">
        <v>0.29234760916498281</v>
      </c>
      <c r="I30" s="54">
        <v>0.29234760916498287</v>
      </c>
      <c r="J30" s="9"/>
      <c r="K30" s="9"/>
      <c r="L30" s="9"/>
      <c r="M30" s="9"/>
      <c r="N30" s="9"/>
      <c r="O30" s="9"/>
      <c r="P30" s="9"/>
      <c r="Q30" s="9"/>
      <c r="R30" s="9"/>
      <c r="S30" s="9"/>
      <c r="T30" s="9"/>
      <c r="U30" s="9"/>
      <c r="V30" s="9"/>
      <c r="W30" s="9"/>
    </row>
    <row r="31" spans="1:23" ht="15.75">
      <c r="A31" s="9"/>
      <c r="B31" s="9"/>
      <c r="C31" s="9"/>
      <c r="D31" s="9"/>
      <c r="E31" s="9"/>
      <c r="F31" s="48" t="s">
        <v>8</v>
      </c>
      <c r="G31" s="51">
        <f ca="1">Input!I34</f>
        <v>0.90558686462766402</v>
      </c>
      <c r="H31" s="52">
        <v>0.90558686462766391</v>
      </c>
      <c r="I31" s="52">
        <v>0.90558686462766402</v>
      </c>
      <c r="J31" s="9"/>
      <c r="K31" s="9"/>
      <c r="L31" s="9"/>
      <c r="M31" s="9"/>
      <c r="N31" s="9"/>
      <c r="O31" s="9"/>
      <c r="P31" s="9"/>
      <c r="Q31" s="9"/>
      <c r="R31" s="9"/>
      <c r="S31" s="9"/>
      <c r="T31" s="9"/>
      <c r="U31" s="9"/>
      <c r="V31" s="9"/>
      <c r="W31" s="9"/>
    </row>
    <row r="32" spans="1:23" ht="15.75">
      <c r="A32" s="9"/>
      <c r="B32" s="9"/>
      <c r="C32" s="9"/>
      <c r="D32" s="9"/>
      <c r="E32" s="9"/>
      <c r="F32" s="48" t="s">
        <v>9</v>
      </c>
      <c r="G32" s="51" t="str">
        <f ca="1">Input!I35</f>
        <v>NA</v>
      </c>
      <c r="H32" s="52" t="str">
        <v>NA</v>
      </c>
      <c r="I32" s="52" t="str">
        <v>NA</v>
      </c>
      <c r="J32" s="9"/>
      <c r="K32" s="9"/>
      <c r="L32" s="9"/>
      <c r="M32" s="9"/>
      <c r="N32" s="9"/>
      <c r="O32" s="9"/>
      <c r="P32" s="9"/>
      <c r="Q32" s="9"/>
      <c r="R32" s="9"/>
      <c r="S32" s="9"/>
      <c r="T32" s="9"/>
      <c r="U32" s="9"/>
      <c r="V32" s="9"/>
      <c r="W32" s="9"/>
    </row>
    <row r="33" spans="1:23" ht="15.75">
      <c r="A33" s="9"/>
      <c r="B33" s="9"/>
      <c r="C33" s="9"/>
      <c r="D33" s="9"/>
      <c r="E33" s="9"/>
      <c r="F33" s="75" t="s">
        <v>772</v>
      </c>
      <c r="G33" s="49"/>
      <c r="H33" s="54">
        <f>1+Sensitivities!B4</f>
        <v>0.7</v>
      </c>
      <c r="I33" s="54">
        <f>1+Sensitivities!C4</f>
        <v>1.3</v>
      </c>
      <c r="J33" s="9"/>
      <c r="K33" s="9"/>
      <c r="L33" s="9"/>
      <c r="M33" s="9"/>
      <c r="N33" s="9"/>
      <c r="O33" s="9"/>
      <c r="P33" s="9"/>
      <c r="Q33" s="9"/>
      <c r="R33" s="9"/>
      <c r="S33" s="9"/>
      <c r="T33" s="9"/>
      <c r="U33" s="9"/>
      <c r="V33" s="9"/>
      <c r="W33" s="9"/>
    </row>
    <row r="34" spans="1:23" ht="15.75">
      <c r="A34" s="9"/>
      <c r="B34" s="9"/>
      <c r="C34" s="9"/>
      <c r="D34" s="9"/>
      <c r="E34" s="9"/>
      <c r="F34" s="48" t="s">
        <v>632</v>
      </c>
      <c r="G34" s="49">
        <f ca="1">Input!I32</f>
        <v>4570.9902501042889</v>
      </c>
      <c r="H34" s="52">
        <f t="dataTable" ref="H34:I37" dt2D="0" dtr="1" r1="F47" ca="1"/>
        <v>2359.6865301884463</v>
      </c>
      <c r="I34" s="52">
        <v>6792.8026395979141</v>
      </c>
      <c r="J34" s="9"/>
      <c r="K34" s="9"/>
      <c r="L34" s="9"/>
      <c r="M34" s="9"/>
      <c r="N34" s="9"/>
      <c r="O34" s="9"/>
      <c r="P34" s="9"/>
      <c r="Q34" s="9"/>
      <c r="R34" s="9"/>
      <c r="S34" s="9"/>
      <c r="T34" s="9"/>
      <c r="U34" s="9"/>
      <c r="V34" s="9"/>
      <c r="W34" s="9"/>
    </row>
    <row r="35" spans="1:23" ht="15.75">
      <c r="A35" s="9"/>
      <c r="B35" s="9"/>
      <c r="C35" s="9"/>
      <c r="D35" s="9"/>
      <c r="E35" s="9"/>
      <c r="F35" s="48" t="s">
        <v>7</v>
      </c>
      <c r="G35" s="49">
        <f ca="1">Input!I33</f>
        <v>0.29234760916498287</v>
      </c>
      <c r="H35" s="54">
        <v>0.20540798508872241</v>
      </c>
      <c r="I35" s="54">
        <v>0.36909037335078293</v>
      </c>
      <c r="J35" s="9"/>
      <c r="K35" s="9"/>
      <c r="L35" s="9"/>
      <c r="M35" s="9"/>
      <c r="N35" s="9"/>
      <c r="O35" s="9"/>
      <c r="P35" s="9"/>
      <c r="Q35" s="9"/>
      <c r="R35" s="9"/>
      <c r="S35" s="9"/>
      <c r="T35" s="9"/>
      <c r="U35" s="9"/>
      <c r="V35" s="9"/>
      <c r="W35" s="9"/>
    </row>
    <row r="36" spans="1:23" ht="15.75">
      <c r="A36" s="9"/>
      <c r="B36" s="9"/>
      <c r="C36" s="9"/>
      <c r="D36" s="9"/>
      <c r="E36" s="9"/>
      <c r="F36" s="48" t="s">
        <v>8</v>
      </c>
      <c r="G36" s="49">
        <f ca="1">Input!I34</f>
        <v>0.90558686462766402</v>
      </c>
      <c r="H36" s="52">
        <v>0.46749194582699721</v>
      </c>
      <c r="I36" s="52">
        <v>1.3457637202983854</v>
      </c>
      <c r="J36" s="9"/>
      <c r="K36" s="9"/>
      <c r="L36" s="9"/>
      <c r="M36" s="9"/>
      <c r="N36" s="9"/>
      <c r="O36" s="9"/>
      <c r="P36" s="9"/>
      <c r="Q36" s="9"/>
      <c r="R36" s="9"/>
      <c r="S36" s="9"/>
      <c r="T36" s="9"/>
      <c r="U36" s="9"/>
      <c r="V36" s="9"/>
      <c r="W36" s="9"/>
    </row>
    <row r="37" spans="1:23" ht="15.75">
      <c r="A37" s="9"/>
      <c r="B37" s="9"/>
      <c r="C37" s="9"/>
      <c r="D37" s="9"/>
      <c r="E37" s="9"/>
      <c r="F37" s="48" t="s">
        <v>9</v>
      </c>
      <c r="G37" s="49" t="str">
        <f ca="1">Input!I35</f>
        <v>NA</v>
      </c>
      <c r="H37" s="52" t="str">
        <v>NA</v>
      </c>
      <c r="I37" s="52" t="str">
        <v>NA</v>
      </c>
      <c r="J37" s="9"/>
      <c r="K37" s="9"/>
      <c r="L37" s="9"/>
      <c r="M37" s="9"/>
      <c r="N37" s="9"/>
      <c r="O37" s="9"/>
      <c r="P37" s="9"/>
      <c r="Q37" s="9"/>
      <c r="R37" s="9"/>
      <c r="S37" s="9"/>
      <c r="T37" s="9"/>
      <c r="U37" s="9"/>
      <c r="V37" s="9"/>
      <c r="W37" s="9"/>
    </row>
    <row r="38" spans="1:23">
      <c r="A38" s="9"/>
      <c r="B38" s="9"/>
      <c r="C38" s="9"/>
      <c r="D38" s="9"/>
      <c r="E38" s="9"/>
      <c r="F38" s="9"/>
      <c r="G38" s="9"/>
      <c r="H38" s="9"/>
      <c r="I38" s="9"/>
      <c r="J38" s="9"/>
      <c r="K38" s="9"/>
      <c r="L38" s="9"/>
      <c r="M38" s="9"/>
      <c r="N38" s="9"/>
      <c r="O38" s="9"/>
      <c r="P38" s="9"/>
      <c r="Q38" s="9"/>
      <c r="R38" s="9"/>
      <c r="S38" s="9"/>
      <c r="T38" s="9"/>
      <c r="U38" s="9"/>
      <c r="V38" s="9"/>
      <c r="W38" s="9"/>
    </row>
    <row r="39" spans="1:23">
      <c r="A39" s="9"/>
      <c r="B39" s="9"/>
      <c r="C39" s="9"/>
      <c r="D39" s="9"/>
      <c r="E39" s="9"/>
      <c r="F39" s="9"/>
      <c r="G39" s="9"/>
      <c r="H39" s="9"/>
      <c r="I39" s="9"/>
      <c r="J39" s="9"/>
      <c r="K39" s="9"/>
      <c r="L39" s="9"/>
      <c r="M39" s="9"/>
      <c r="N39" s="9"/>
      <c r="O39" s="9"/>
      <c r="P39" s="9"/>
      <c r="Q39" s="9"/>
      <c r="R39" s="9"/>
      <c r="S39" s="9"/>
      <c r="T39" s="9"/>
      <c r="U39" s="9"/>
      <c r="V39" s="9"/>
      <c r="W39" s="9"/>
    </row>
    <row r="40" spans="1:23">
      <c r="A40" s="9"/>
      <c r="B40" s="9"/>
      <c r="C40" s="9"/>
      <c r="D40" s="9"/>
      <c r="E40" s="9"/>
      <c r="F40" s="9"/>
      <c r="G40" s="9"/>
      <c r="H40" s="9"/>
      <c r="I40" s="9" t="s">
        <v>627</v>
      </c>
      <c r="J40" s="9" t="s">
        <v>114</v>
      </c>
      <c r="K40" s="9" t="s">
        <v>647</v>
      </c>
      <c r="L40" s="9" t="s">
        <v>648</v>
      </c>
      <c r="M40" s="9" t="s">
        <v>628</v>
      </c>
      <c r="N40" s="9" t="s">
        <v>654</v>
      </c>
      <c r="O40" s="9" t="s">
        <v>655</v>
      </c>
      <c r="P40" s="9" t="s">
        <v>656</v>
      </c>
      <c r="Q40" s="9" t="s">
        <v>657</v>
      </c>
      <c r="R40" s="9"/>
      <c r="S40" s="9"/>
      <c r="T40" s="9"/>
      <c r="U40" s="9"/>
      <c r="V40" s="9"/>
      <c r="W40" s="9"/>
    </row>
    <row r="41" spans="1:23">
      <c r="A41" s="9"/>
      <c r="B41" s="9"/>
      <c r="C41" s="9" t="s">
        <v>622</v>
      </c>
      <c r="D41" s="9"/>
      <c r="E41" s="9"/>
      <c r="F41" s="9">
        <v>1</v>
      </c>
      <c r="G41" s="9"/>
      <c r="H41" s="9"/>
      <c r="I41" s="9">
        <v>1</v>
      </c>
      <c r="J41" s="18" t="s">
        <v>645</v>
      </c>
      <c r="K41" s="18" t="s">
        <v>645</v>
      </c>
      <c r="L41" s="18" t="s">
        <v>645</v>
      </c>
      <c r="M41" s="18" t="s">
        <v>645</v>
      </c>
      <c r="N41" s="18">
        <v>0</v>
      </c>
      <c r="O41" s="18">
        <v>0</v>
      </c>
      <c r="P41" s="18" t="s">
        <v>645</v>
      </c>
      <c r="Q41" s="18" t="s">
        <v>645</v>
      </c>
      <c r="R41" s="9"/>
      <c r="S41" s="9"/>
      <c r="T41" s="9"/>
      <c r="U41" s="9"/>
      <c r="V41" s="9"/>
      <c r="W41" s="9"/>
    </row>
    <row r="42" spans="1:23">
      <c r="A42" s="9"/>
      <c r="B42" s="9"/>
      <c r="C42" s="9" t="s">
        <v>617</v>
      </c>
      <c r="D42" s="9"/>
      <c r="E42" s="9"/>
      <c r="F42" s="9">
        <v>1</v>
      </c>
      <c r="G42" s="9"/>
      <c r="H42" s="9"/>
      <c r="I42" s="9">
        <v>2</v>
      </c>
      <c r="J42" s="18" t="s">
        <v>645</v>
      </c>
      <c r="K42" s="18" t="s">
        <v>645</v>
      </c>
      <c r="L42" s="18" t="s">
        <v>646</v>
      </c>
      <c r="M42" s="18">
        <v>0</v>
      </c>
      <c r="N42" s="18">
        <v>0</v>
      </c>
      <c r="O42" s="18" t="s">
        <v>646</v>
      </c>
      <c r="P42" s="18" t="s">
        <v>645</v>
      </c>
      <c r="Q42" s="18" t="s">
        <v>645</v>
      </c>
      <c r="R42" s="9"/>
      <c r="S42" s="9"/>
      <c r="T42" s="9"/>
      <c r="U42" s="9"/>
      <c r="V42" s="9"/>
      <c r="W42" s="9"/>
    </row>
    <row r="43" spans="1:23">
      <c r="A43" s="9"/>
      <c r="B43" s="9"/>
      <c r="C43" s="9" t="s">
        <v>623</v>
      </c>
      <c r="D43" s="9"/>
      <c r="E43" s="9"/>
      <c r="F43" s="9">
        <v>1</v>
      </c>
      <c r="G43" s="9"/>
      <c r="H43" s="9"/>
      <c r="I43" s="9">
        <v>3</v>
      </c>
      <c r="J43" s="18" t="s">
        <v>646</v>
      </c>
      <c r="K43" s="18" t="s">
        <v>645</v>
      </c>
      <c r="L43" s="18" t="s">
        <v>646</v>
      </c>
      <c r="M43" s="18">
        <v>0</v>
      </c>
      <c r="N43" s="18" t="s">
        <v>646</v>
      </c>
      <c r="O43" s="18" t="s">
        <v>646</v>
      </c>
      <c r="P43" s="18">
        <v>0</v>
      </c>
      <c r="Q43" s="18" t="s">
        <v>645</v>
      </c>
      <c r="R43" s="9"/>
      <c r="S43" s="9"/>
      <c r="T43" s="9"/>
      <c r="U43" s="9"/>
      <c r="V43" s="9"/>
      <c r="W43" s="9"/>
    </row>
    <row r="44" spans="1:23">
      <c r="A44" s="9"/>
      <c r="B44" s="9"/>
      <c r="C44" s="9" t="s">
        <v>624</v>
      </c>
      <c r="D44" s="9"/>
      <c r="E44" s="9"/>
      <c r="F44" s="9">
        <v>1</v>
      </c>
      <c r="G44" s="9"/>
      <c r="H44" s="9"/>
      <c r="I44" s="9">
        <v>4</v>
      </c>
      <c r="J44" s="18" t="s">
        <v>646</v>
      </c>
      <c r="K44" s="18" t="s">
        <v>646</v>
      </c>
      <c r="L44" s="18" t="s">
        <v>646</v>
      </c>
      <c r="M44" s="18" t="s">
        <v>646</v>
      </c>
      <c r="N44" s="18" t="s">
        <v>646</v>
      </c>
      <c r="O44" s="18" t="s">
        <v>646</v>
      </c>
      <c r="P44" s="18">
        <v>0</v>
      </c>
      <c r="Q44" s="18">
        <v>0</v>
      </c>
      <c r="R44" s="9"/>
      <c r="S44" s="9"/>
      <c r="T44" s="9"/>
      <c r="U44" s="9"/>
      <c r="V44" s="9"/>
      <c r="W44" s="9"/>
    </row>
    <row r="45" spans="1:23">
      <c r="A45" s="9"/>
      <c r="B45" s="9"/>
      <c r="C45" s="14" t="s">
        <v>621</v>
      </c>
      <c r="D45" s="14"/>
      <c r="E45" s="14"/>
      <c r="F45" s="14">
        <v>1</v>
      </c>
      <c r="G45" s="14"/>
      <c r="H45" s="14"/>
      <c r="I45" s="14"/>
      <c r="J45" s="14"/>
      <c r="K45" s="14"/>
      <c r="L45" s="14"/>
      <c r="M45" s="14" t="s">
        <v>649</v>
      </c>
      <c r="N45" s="14" t="s">
        <v>650</v>
      </c>
      <c r="O45" s="14" t="s">
        <v>651</v>
      </c>
      <c r="P45" s="14" t="s">
        <v>652</v>
      </c>
      <c r="Q45" s="14" t="s">
        <v>653</v>
      </c>
      <c r="R45" s="14"/>
      <c r="S45" s="14"/>
      <c r="T45" s="14"/>
      <c r="U45" s="14"/>
      <c r="V45" s="14"/>
      <c r="W45" s="14"/>
    </row>
    <row r="46" spans="1:23">
      <c r="A46" s="9"/>
      <c r="B46" s="9"/>
      <c r="C46" s="14" t="s">
        <v>625</v>
      </c>
      <c r="D46" s="14"/>
      <c r="E46" s="14"/>
      <c r="F46" s="14">
        <v>1</v>
      </c>
      <c r="G46" s="14"/>
      <c r="H46" s="14"/>
      <c r="I46" s="14"/>
      <c r="J46" s="14"/>
      <c r="K46" s="14"/>
      <c r="L46" s="14"/>
      <c r="M46" s="14" t="s">
        <v>628</v>
      </c>
      <c r="N46" s="14" t="s">
        <v>630</v>
      </c>
      <c r="O46" s="14" t="s">
        <v>631</v>
      </c>
      <c r="P46" s="14" t="s">
        <v>631</v>
      </c>
      <c r="Q46" s="14" t="s">
        <v>630</v>
      </c>
      <c r="R46" s="14"/>
      <c r="S46" s="14"/>
      <c r="T46" s="14"/>
      <c r="U46" s="14"/>
      <c r="V46" s="14"/>
      <c r="W46" s="14"/>
    </row>
    <row r="47" spans="1:23">
      <c r="A47" s="9"/>
      <c r="B47" s="9"/>
      <c r="C47" s="9" t="s">
        <v>772</v>
      </c>
      <c r="D47" s="14"/>
      <c r="E47" s="14"/>
      <c r="F47" s="59">
        <v>1</v>
      </c>
      <c r="G47" s="14"/>
      <c r="T47" s="9"/>
      <c r="U47" s="14"/>
      <c r="V47" s="14"/>
      <c r="W47" s="14"/>
    </row>
    <row r="48" spans="1:23">
      <c r="A48" s="9"/>
      <c r="B48" s="9"/>
      <c r="C48" s="14"/>
      <c r="D48" s="14"/>
      <c r="E48" s="14"/>
      <c r="F48" s="15"/>
      <c r="G48" s="14"/>
      <c r="T48" s="14"/>
      <c r="U48" s="14"/>
      <c r="V48" s="14"/>
      <c r="W48" s="14"/>
    </row>
    <row r="49" spans="1:23">
      <c r="A49" s="9"/>
      <c r="B49" s="9"/>
      <c r="C49" s="14"/>
      <c r="D49" s="14"/>
      <c r="E49" s="14"/>
      <c r="F49" s="15"/>
      <c r="G49" s="14"/>
      <c r="T49" s="14"/>
      <c r="U49" s="14"/>
      <c r="V49" s="14"/>
      <c r="W49" s="14"/>
    </row>
    <row r="50" spans="1:23">
      <c r="A50" s="9"/>
      <c r="B50" s="9"/>
      <c r="C50" s="14" t="s">
        <v>626</v>
      </c>
      <c r="D50" s="14"/>
      <c r="E50" s="14"/>
      <c r="F50" s="15"/>
      <c r="G50" s="14"/>
      <c r="H50" s="15"/>
      <c r="I50" s="15" t="s">
        <v>6</v>
      </c>
      <c r="J50" s="14">
        <f ca="1">Input!I32</f>
        <v>4570.9902501042889</v>
      </c>
      <c r="K50" s="14"/>
      <c r="L50" s="59" t="s">
        <v>627</v>
      </c>
      <c r="M50" s="59" t="s">
        <v>647</v>
      </c>
      <c r="N50" s="59" t="s">
        <v>648</v>
      </c>
      <c r="O50" s="60" t="s">
        <v>628</v>
      </c>
      <c r="P50" s="60" t="s">
        <v>654</v>
      </c>
      <c r="Q50" s="60" t="s">
        <v>655</v>
      </c>
      <c r="R50" s="60" t="s">
        <v>656</v>
      </c>
      <c r="S50" s="60" t="s">
        <v>657</v>
      </c>
      <c r="T50" s="14"/>
      <c r="U50" s="14"/>
      <c r="V50" s="14"/>
      <c r="W50" s="14"/>
    </row>
    <row r="51" spans="1:23">
      <c r="A51" s="9"/>
      <c r="B51" s="9"/>
      <c r="C51" s="14"/>
      <c r="D51" s="14"/>
      <c r="E51" s="14"/>
      <c r="F51" s="15"/>
      <c r="G51" s="14"/>
      <c r="H51" s="14">
        <v>1</v>
      </c>
      <c r="I51" s="14" t="s">
        <v>110</v>
      </c>
      <c r="J51" s="55">
        <f>H4</f>
        <v>3374.1780597860998</v>
      </c>
      <c r="K51" s="55">
        <f>I4</f>
        <v>7091.287210518447</v>
      </c>
      <c r="L51" s="14">
        <f t="shared" ref="L51:L57" ca="1" si="0">IF($J$50&lt;0,IF(N51&gt;0,2,1),IF(M51&gt;0,4,3))</f>
        <v>4</v>
      </c>
      <c r="M51" s="55">
        <f t="shared" ref="M51:M57" ca="1" si="1">MIN(J51:K51,$J$50)</f>
        <v>3374.1780597860998</v>
      </c>
      <c r="N51" s="55">
        <f t="shared" ref="N51:N57" ca="1" si="2">MAX(J51:K51,$J$50)</f>
        <v>7091.287210518447</v>
      </c>
      <c r="O51" s="14">
        <f t="shared" ref="O51:O57" ca="1" si="3">CHOOSE(L51,N51,0,0,M51)</f>
        <v>3374.1780597860998</v>
      </c>
      <c r="P51" s="14">
        <f t="shared" ref="P51:P57" ca="1" si="4">IF($J$50="Uneconomic",0,CHOOSE(L51,0,0,$J$50,$J$50-M51))</f>
        <v>1196.8121903181891</v>
      </c>
      <c r="Q51" s="14">
        <f t="shared" ref="Q51:Q57" ca="1" si="5">IF($J$50="Uneconomic",0,CHOOSE(L51,0,N51,N51-$J$50,N51-$J$50))</f>
        <v>2520.2969604141581</v>
      </c>
      <c r="R51" s="14">
        <f t="shared" ref="R51:R57" ca="1" si="6">IF($J$50="Uneconomic",0,CHOOSE(L51,$J$50-N51,$J$50,0,0))</f>
        <v>0</v>
      </c>
      <c r="S51" s="14">
        <f t="shared" ref="S51:S57" ca="1" si="7">IF($J$50="Uneconomic",0,CHOOSE(L51,M51-$J$50,M51-$J$50,M51,0))</f>
        <v>0</v>
      </c>
      <c r="T51" s="14"/>
      <c r="U51" s="14"/>
      <c r="V51" s="14"/>
      <c r="W51" s="14"/>
    </row>
    <row r="52" spans="1:23">
      <c r="A52" s="9"/>
      <c r="B52" s="9"/>
      <c r="C52" s="14"/>
      <c r="D52" s="14"/>
      <c r="E52" s="14"/>
      <c r="F52" s="15"/>
      <c r="G52" s="14"/>
      <c r="H52" s="14"/>
      <c r="I52" s="14" t="s">
        <v>746</v>
      </c>
      <c r="J52" s="55">
        <f>H34</f>
        <v>2359.6865301884463</v>
      </c>
      <c r="K52" s="55">
        <f>I34</f>
        <v>6792.8026395979141</v>
      </c>
      <c r="L52" s="14">
        <f t="shared" ca="1" si="0"/>
        <v>4</v>
      </c>
      <c r="M52" s="55">
        <f t="shared" ca="1" si="1"/>
        <v>2359.6865301884463</v>
      </c>
      <c r="N52" s="55">
        <f t="shared" ca="1" si="2"/>
        <v>6792.8026395979141</v>
      </c>
      <c r="O52" s="14">
        <f ca="1">CHOOSE(L52,N52,0,0,M52)</f>
        <v>2359.6865301884463</v>
      </c>
      <c r="P52" s="14">
        <f t="shared" ca="1" si="4"/>
        <v>2211.3037199158425</v>
      </c>
      <c r="Q52" s="14">
        <f t="shared" ca="1" si="5"/>
        <v>2221.8123894936252</v>
      </c>
      <c r="R52" s="14">
        <f t="shared" ca="1" si="6"/>
        <v>0</v>
      </c>
      <c r="S52" s="14">
        <f t="shared" ca="1" si="7"/>
        <v>0</v>
      </c>
      <c r="T52" s="14"/>
      <c r="U52" s="14"/>
      <c r="V52" s="14"/>
      <c r="W52" s="14"/>
    </row>
    <row r="53" spans="1:23">
      <c r="A53" s="9"/>
      <c r="B53" s="9"/>
      <c r="C53" s="14"/>
      <c r="D53" s="14"/>
      <c r="E53" s="14"/>
      <c r="F53" s="15"/>
      <c r="G53" s="14"/>
      <c r="H53" s="14">
        <v>6</v>
      </c>
      <c r="I53" s="14" t="s">
        <v>117</v>
      </c>
      <c r="J53" s="55">
        <f>H9</f>
        <v>4340.2868817895633</v>
      </c>
      <c r="K53" s="55">
        <f>I9</f>
        <v>4821.5515816997759</v>
      </c>
      <c r="L53" s="14">
        <f t="shared" ca="1" si="0"/>
        <v>4</v>
      </c>
      <c r="M53" s="55">
        <f t="shared" ca="1" si="1"/>
        <v>4340.2868817895633</v>
      </c>
      <c r="N53" s="55">
        <f t="shared" ca="1" si="2"/>
        <v>4821.5515816997759</v>
      </c>
      <c r="O53" s="14">
        <f t="shared" ca="1" si="3"/>
        <v>4340.2868817895633</v>
      </c>
      <c r="P53" s="14">
        <f t="shared" ca="1" si="4"/>
        <v>230.70336831472559</v>
      </c>
      <c r="Q53" s="14">
        <f t="shared" ca="1" si="5"/>
        <v>250.56133159548699</v>
      </c>
      <c r="R53" s="14">
        <f t="shared" ca="1" si="6"/>
        <v>0</v>
      </c>
      <c r="S53" s="14">
        <f t="shared" ca="1" si="7"/>
        <v>0</v>
      </c>
      <c r="T53" s="14"/>
      <c r="U53" s="14"/>
      <c r="V53" s="14"/>
      <c r="W53" s="14"/>
    </row>
    <row r="54" spans="1:23">
      <c r="A54" s="9"/>
      <c r="B54" s="9"/>
      <c r="C54" s="14"/>
      <c r="D54" s="14"/>
      <c r="E54" s="14"/>
      <c r="F54" s="15"/>
      <c r="G54" s="14"/>
      <c r="H54" s="14">
        <v>11</v>
      </c>
      <c r="I54" s="14" t="s">
        <v>118</v>
      </c>
      <c r="J54" s="55">
        <f>H14</f>
        <v>4574.1756716618765</v>
      </c>
      <c r="K54" s="55">
        <f>I14</f>
        <v>4579.9942233097008</v>
      </c>
      <c r="L54" s="14">
        <f t="shared" ca="1" si="0"/>
        <v>4</v>
      </c>
      <c r="M54" s="55">
        <f t="shared" ca="1" si="1"/>
        <v>4570.9902501042889</v>
      </c>
      <c r="N54" s="55">
        <f t="shared" ca="1" si="2"/>
        <v>4579.9942233097008</v>
      </c>
      <c r="O54" s="14">
        <f t="shared" ca="1" si="3"/>
        <v>4570.9902501042889</v>
      </c>
      <c r="P54" s="14">
        <f t="shared" ca="1" si="4"/>
        <v>0</v>
      </c>
      <c r="Q54" s="14">
        <f t="shared" ca="1" si="5"/>
        <v>9.0039732054119668</v>
      </c>
      <c r="R54" s="14">
        <f t="shared" ca="1" si="6"/>
        <v>0</v>
      </c>
      <c r="S54" s="14">
        <f t="shared" ca="1" si="7"/>
        <v>0</v>
      </c>
      <c r="T54" s="14"/>
      <c r="U54" s="14"/>
      <c r="V54" s="14"/>
      <c r="W54" s="14"/>
    </row>
    <row r="55" spans="1:23">
      <c r="A55" s="9"/>
      <c r="B55" s="9"/>
      <c r="C55" s="14"/>
      <c r="D55" s="14"/>
      <c r="E55" s="14"/>
      <c r="F55" s="14"/>
      <c r="G55" s="14"/>
      <c r="H55" s="14">
        <v>16</v>
      </c>
      <c r="I55" s="14" t="s">
        <v>629</v>
      </c>
      <c r="J55" s="55">
        <f>H19</f>
        <v>5180.6941501585225</v>
      </c>
      <c r="K55" s="55">
        <f>I19</f>
        <v>3849.2429808802208</v>
      </c>
      <c r="L55" s="14">
        <f t="shared" ca="1" si="0"/>
        <v>4</v>
      </c>
      <c r="M55" s="55">
        <f t="shared" ca="1" si="1"/>
        <v>3849.2429808802208</v>
      </c>
      <c r="N55" s="55">
        <f t="shared" ca="1" si="2"/>
        <v>5180.6941501585225</v>
      </c>
      <c r="O55" s="14">
        <f t="shared" ca="1" si="3"/>
        <v>3849.2429808802208</v>
      </c>
      <c r="P55" s="14">
        <f t="shared" ca="1" si="4"/>
        <v>721.74726922406808</v>
      </c>
      <c r="Q55" s="14">
        <f t="shared" ca="1" si="5"/>
        <v>609.7039000542336</v>
      </c>
      <c r="R55" s="14">
        <f t="shared" ca="1" si="6"/>
        <v>0</v>
      </c>
      <c r="S55" s="14">
        <f t="shared" ca="1" si="7"/>
        <v>0</v>
      </c>
      <c r="T55" s="14"/>
      <c r="U55" s="14"/>
      <c r="V55" s="14"/>
      <c r="W55" s="14"/>
    </row>
    <row r="56" spans="1:23">
      <c r="A56" s="9"/>
      <c r="B56" s="9"/>
      <c r="C56" s="14"/>
      <c r="D56" s="14"/>
      <c r="E56" s="14"/>
      <c r="F56" s="14"/>
      <c r="G56" s="14"/>
      <c r="H56" s="14">
        <v>21</v>
      </c>
      <c r="I56" s="14" t="s">
        <v>120</v>
      </c>
      <c r="J56" s="55">
        <f>H24</f>
        <v>5136.6315544153131</v>
      </c>
      <c r="K56" s="55">
        <f>I24</f>
        <v>4037.6013335402258</v>
      </c>
      <c r="L56" s="14">
        <f t="shared" ca="1" si="0"/>
        <v>4</v>
      </c>
      <c r="M56" s="55">
        <f t="shared" ca="1" si="1"/>
        <v>4037.6013335402258</v>
      </c>
      <c r="N56" s="55">
        <f t="shared" ca="1" si="2"/>
        <v>5136.6315544153131</v>
      </c>
      <c r="O56" s="14">
        <f t="shared" ca="1" si="3"/>
        <v>4037.6013335402258</v>
      </c>
      <c r="P56" s="14">
        <f t="shared" ca="1" si="4"/>
        <v>533.38891656406304</v>
      </c>
      <c r="Q56" s="14">
        <f t="shared" ca="1" si="5"/>
        <v>565.64130431102421</v>
      </c>
      <c r="R56" s="14">
        <f t="shared" ca="1" si="6"/>
        <v>0</v>
      </c>
      <c r="S56" s="14">
        <f t="shared" ca="1" si="7"/>
        <v>0</v>
      </c>
      <c r="T56" s="14"/>
      <c r="U56" s="14"/>
      <c r="V56" s="14"/>
      <c r="W56" s="14"/>
    </row>
    <row r="57" spans="1:23">
      <c r="A57" s="9"/>
      <c r="B57" s="9"/>
      <c r="C57" s="14"/>
      <c r="D57" s="14"/>
      <c r="E57" s="14"/>
      <c r="F57" s="14"/>
      <c r="G57" s="14"/>
      <c r="H57" s="14">
        <v>26</v>
      </c>
      <c r="I57" s="14" t="s">
        <v>121</v>
      </c>
      <c r="J57" s="55">
        <f>H29</f>
        <v>3656.7922000834315</v>
      </c>
      <c r="K57" s="55">
        <f>I29</f>
        <v>4570.9902501042889</v>
      </c>
      <c r="L57" s="14">
        <f t="shared" ca="1" si="0"/>
        <v>4</v>
      </c>
      <c r="M57" s="55">
        <f t="shared" ca="1" si="1"/>
        <v>3656.7922000834315</v>
      </c>
      <c r="N57" s="55">
        <f t="shared" ca="1" si="2"/>
        <v>4570.9902501042889</v>
      </c>
      <c r="O57" s="14">
        <f t="shared" ca="1" si="3"/>
        <v>3656.7922000834315</v>
      </c>
      <c r="P57" s="14">
        <f t="shared" ca="1" si="4"/>
        <v>914.19805002085741</v>
      </c>
      <c r="Q57" s="14">
        <f t="shared" ca="1" si="5"/>
        <v>0</v>
      </c>
      <c r="R57" s="14">
        <f t="shared" ca="1" si="6"/>
        <v>0</v>
      </c>
      <c r="S57" s="14">
        <f t="shared" ca="1" si="7"/>
        <v>0</v>
      </c>
      <c r="T57" s="14"/>
      <c r="U57" s="14"/>
      <c r="V57" s="14"/>
      <c r="W57" s="14"/>
    </row>
    <row r="58" spans="1:23">
      <c r="A58" s="9"/>
      <c r="B58" s="9"/>
      <c r="C58" s="9"/>
      <c r="D58" s="9"/>
      <c r="E58" s="9"/>
      <c r="F58" s="14"/>
      <c r="G58" s="14"/>
      <c r="H58" s="14"/>
      <c r="I58" s="14"/>
      <c r="J58" s="14"/>
      <c r="K58" s="14"/>
      <c r="L58" s="14"/>
      <c r="M58" s="14"/>
      <c r="N58" s="14"/>
      <c r="O58" s="14"/>
      <c r="P58" s="14"/>
      <c r="Q58" s="14"/>
      <c r="R58" s="14"/>
      <c r="S58" s="14"/>
      <c r="T58" s="14"/>
      <c r="U58" s="14"/>
      <c r="V58" s="14"/>
      <c r="W58" s="14"/>
    </row>
    <row r="59" spans="1:23">
      <c r="A59" s="9"/>
      <c r="B59" s="9"/>
      <c r="C59" s="9"/>
      <c r="D59" s="9"/>
      <c r="E59" s="9"/>
      <c r="F59" s="14"/>
      <c r="G59" s="14"/>
      <c r="H59" s="14"/>
      <c r="I59" s="14"/>
      <c r="J59" s="14"/>
      <c r="K59" s="14"/>
      <c r="L59" s="14"/>
      <c r="M59" s="14"/>
      <c r="N59" s="14"/>
      <c r="O59" s="14"/>
      <c r="P59" s="14"/>
      <c r="Q59" s="14"/>
      <c r="R59" s="14"/>
      <c r="S59" s="14"/>
      <c r="T59" s="14"/>
      <c r="U59" s="14"/>
      <c r="V59" s="14"/>
      <c r="W59" s="14"/>
    </row>
    <row r="60" spans="1:23">
      <c r="A60" s="9"/>
      <c r="B60" s="9"/>
      <c r="C60" s="9"/>
      <c r="D60" s="9"/>
      <c r="E60" s="9"/>
      <c r="F60" s="14"/>
      <c r="G60" s="14"/>
      <c r="H60" s="14">
        <v>1</v>
      </c>
      <c r="I60" s="15" t="s">
        <v>7</v>
      </c>
      <c r="J60" s="56">
        <f ca="1">IF(Input!I32="Uneconomic",0,Input!I33)</f>
        <v>0.29234760916498287</v>
      </c>
      <c r="K60" s="14"/>
      <c r="L60" s="59" t="s">
        <v>627</v>
      </c>
      <c r="M60" s="59" t="s">
        <v>647</v>
      </c>
      <c r="N60" s="59" t="s">
        <v>648</v>
      </c>
      <c r="O60" s="60" t="s">
        <v>628</v>
      </c>
      <c r="P60" s="60" t="s">
        <v>654</v>
      </c>
      <c r="Q60" s="60" t="s">
        <v>655</v>
      </c>
      <c r="R60" s="60" t="s">
        <v>656</v>
      </c>
      <c r="S60" s="60" t="s">
        <v>657</v>
      </c>
      <c r="T60" s="14"/>
      <c r="U60" s="14"/>
      <c r="V60" s="14"/>
      <c r="W60" s="14"/>
    </row>
    <row r="61" spans="1:23">
      <c r="A61" s="9"/>
      <c r="B61" s="9"/>
      <c r="C61" s="9"/>
      <c r="D61" s="9"/>
      <c r="E61" s="9"/>
      <c r="F61" s="14"/>
      <c r="G61" s="14"/>
      <c r="H61" s="9">
        <v>2</v>
      </c>
      <c r="I61" s="14" t="s">
        <v>110</v>
      </c>
      <c r="J61" s="57">
        <f>H5</f>
        <v>0.25653011890402827</v>
      </c>
      <c r="K61" s="57">
        <f>I5</f>
        <v>0.35244916498819484</v>
      </c>
      <c r="L61" s="14">
        <f t="shared" ref="L61:L67" ca="1" si="8">IF($J$60&lt;0,IF(N61&gt;0,2,1),IF(M61&gt;0,4,3))</f>
        <v>4</v>
      </c>
      <c r="M61" s="55">
        <f t="shared" ref="M61:M67" ca="1" si="9">IF($J$60=0,0,MIN(J61:K61,$J$60))</f>
        <v>0.25653011890402827</v>
      </c>
      <c r="N61" s="55">
        <f t="shared" ref="N61:N67" ca="1" si="10">IF($J$60=0,0,MAX(J61:K61,$J$60))</f>
        <v>0.35244916498819484</v>
      </c>
      <c r="O61" s="14">
        <f t="shared" ref="O61:O67" ca="1" si="11">CHOOSE(L61,N61,0,0,M61)</f>
        <v>0.25653011890402827</v>
      </c>
      <c r="P61" s="14">
        <f t="shared" ref="P61:P67" ca="1" si="12">CHOOSE(L61,0,0,$J$60,$J$60-M61)</f>
        <v>3.5817490260954599E-2</v>
      </c>
      <c r="Q61" s="14">
        <f t="shared" ref="Q61:Q67" ca="1" si="13">CHOOSE(L61,0,N61,N61-$J$60,N61-$J$60)</f>
        <v>6.0101555823211972E-2</v>
      </c>
      <c r="R61" s="14">
        <f t="shared" ref="R61:R67" ca="1" si="14">CHOOSE(L61,$J$60-N61,$J$60,0,0)</f>
        <v>0</v>
      </c>
      <c r="S61" s="14">
        <f t="shared" ref="S61:S67" ca="1" si="15">CHOOSE(L61,M61-$J$60,M61-$J$60,M61,0)</f>
        <v>0</v>
      </c>
      <c r="T61" s="14"/>
      <c r="U61" s="14"/>
      <c r="V61" s="14"/>
      <c r="W61" s="14"/>
    </row>
    <row r="62" spans="1:23">
      <c r="A62" s="9"/>
      <c r="B62" s="9"/>
      <c r="C62" s="9"/>
      <c r="D62" s="9"/>
      <c r="E62" s="9"/>
      <c r="F62" s="14"/>
      <c r="G62" s="14"/>
      <c r="H62" s="9"/>
      <c r="I62" s="14" t="str">
        <f>I52</f>
        <v>Oil Price</v>
      </c>
      <c r="J62" s="57">
        <f>H35</f>
        <v>0.20540798508872241</v>
      </c>
      <c r="K62" s="57">
        <f>I35</f>
        <v>0.36909037335078293</v>
      </c>
      <c r="L62" s="14">
        <f t="shared" ca="1" si="8"/>
        <v>4</v>
      </c>
      <c r="M62" s="55">
        <f t="shared" ca="1" si="9"/>
        <v>0.20540798508872241</v>
      </c>
      <c r="N62" s="55">
        <f t="shared" ca="1" si="10"/>
        <v>0.36909037335078293</v>
      </c>
      <c r="O62" s="14">
        <f ca="1">CHOOSE(L62,N62,0,0,M62)</f>
        <v>0.20540798508872241</v>
      </c>
      <c r="P62" s="14">
        <f t="shared" ca="1" si="12"/>
        <v>8.6939624076260463E-2</v>
      </c>
      <c r="Q62" s="14">
        <f t="shared" ca="1" si="13"/>
        <v>7.6742764185800061E-2</v>
      </c>
      <c r="R62" s="14">
        <f t="shared" ca="1" si="14"/>
        <v>0</v>
      </c>
      <c r="S62" s="14">
        <f t="shared" ca="1" si="15"/>
        <v>0</v>
      </c>
      <c r="T62" s="14"/>
      <c r="U62" s="14"/>
      <c r="V62" s="14"/>
      <c r="W62" s="14"/>
    </row>
    <row r="63" spans="1:23">
      <c r="A63" s="9"/>
      <c r="B63" s="9"/>
      <c r="C63" s="9"/>
      <c r="D63" s="9"/>
      <c r="E63" s="9"/>
      <c r="F63" s="14"/>
      <c r="G63" s="14"/>
      <c r="H63" s="14">
        <v>7</v>
      </c>
      <c r="I63" s="14" t="str">
        <f>I53</f>
        <v>Gas Price</v>
      </c>
      <c r="J63" s="57">
        <f>H10</f>
        <v>0.28503046881595745</v>
      </c>
      <c r="K63" s="57">
        <f>I10</f>
        <v>0.2995419988762788</v>
      </c>
      <c r="L63" s="14">
        <f t="shared" ca="1" si="8"/>
        <v>4</v>
      </c>
      <c r="M63" s="55">
        <f t="shared" ca="1" si="9"/>
        <v>0.28503046881595745</v>
      </c>
      <c r="N63" s="55">
        <f t="shared" ca="1" si="10"/>
        <v>0.2995419988762788</v>
      </c>
      <c r="O63" s="14">
        <f t="shared" ca="1" si="11"/>
        <v>0.28503046881595745</v>
      </c>
      <c r="P63" s="14">
        <f t="shared" ca="1" si="12"/>
        <v>7.3171403490254194E-3</v>
      </c>
      <c r="Q63" s="14">
        <f t="shared" ca="1" si="13"/>
        <v>7.1943897112959343E-3</v>
      </c>
      <c r="R63" s="14">
        <f t="shared" ca="1" si="14"/>
        <v>0</v>
      </c>
      <c r="S63" s="14">
        <f t="shared" ca="1" si="15"/>
        <v>0</v>
      </c>
      <c r="T63" s="14"/>
      <c r="U63" s="14"/>
      <c r="V63" s="14"/>
      <c r="W63" s="14"/>
    </row>
    <row r="64" spans="1:23">
      <c r="A64" s="9"/>
      <c r="B64" s="9"/>
      <c r="C64" s="9"/>
      <c r="D64" s="9"/>
      <c r="E64" s="9"/>
      <c r="F64" s="14"/>
      <c r="G64" s="14"/>
      <c r="H64" s="14">
        <v>12</v>
      </c>
      <c r="I64" s="14" t="s">
        <v>118</v>
      </c>
      <c r="J64" s="57">
        <f>H15</f>
        <v>0.29653401766797632</v>
      </c>
      <c r="K64" s="57">
        <f>I15</f>
        <v>0.28780431103894416</v>
      </c>
      <c r="L64" s="14">
        <f t="shared" ca="1" si="8"/>
        <v>4</v>
      </c>
      <c r="M64" s="55">
        <f t="shared" ca="1" si="9"/>
        <v>0.28780431103894416</v>
      </c>
      <c r="N64" s="55">
        <f t="shared" ca="1" si="10"/>
        <v>0.29653401766797632</v>
      </c>
      <c r="O64" s="14">
        <f t="shared" ca="1" si="11"/>
        <v>0.28780431103894416</v>
      </c>
      <c r="P64" s="14">
        <f t="shared" ca="1" si="12"/>
        <v>4.5432981260387084E-3</v>
      </c>
      <c r="Q64" s="14">
        <f t="shared" ca="1" si="13"/>
        <v>4.186408502993455E-3</v>
      </c>
      <c r="R64" s="14">
        <f t="shared" ca="1" si="14"/>
        <v>0</v>
      </c>
      <c r="S64" s="14">
        <f t="shared" ca="1" si="15"/>
        <v>0</v>
      </c>
      <c r="T64" s="14"/>
      <c r="U64" s="14"/>
      <c r="V64" s="14"/>
      <c r="W64" s="14"/>
    </row>
    <row r="65" spans="1:23">
      <c r="A65" s="9"/>
      <c r="B65" s="9"/>
      <c r="C65" s="9"/>
      <c r="D65" s="9"/>
      <c r="E65" s="9"/>
      <c r="F65" s="9"/>
      <c r="G65" s="14"/>
      <c r="H65" s="14">
        <v>17</v>
      </c>
      <c r="I65" s="14" t="s">
        <v>629</v>
      </c>
      <c r="J65" s="57">
        <f>H20</f>
        <v>0.36434101048230683</v>
      </c>
      <c r="K65" s="57">
        <f>I20</f>
        <v>0.2339831552455402</v>
      </c>
      <c r="L65" s="14">
        <f t="shared" ca="1" si="8"/>
        <v>4</v>
      </c>
      <c r="M65" s="55">
        <f t="shared" ca="1" si="9"/>
        <v>0.2339831552455402</v>
      </c>
      <c r="N65" s="55">
        <f t="shared" ca="1" si="10"/>
        <v>0.36434101048230683</v>
      </c>
      <c r="O65" s="14">
        <f t="shared" ca="1" si="11"/>
        <v>0.2339831552455402</v>
      </c>
      <c r="P65" s="14">
        <f t="shared" ca="1" si="12"/>
        <v>5.8364453919442671E-2</v>
      </c>
      <c r="Q65" s="14">
        <f t="shared" ca="1" si="13"/>
        <v>7.1993401317323957E-2</v>
      </c>
      <c r="R65" s="14">
        <f t="shared" ca="1" si="14"/>
        <v>0</v>
      </c>
      <c r="S65" s="14">
        <f t="shared" ca="1" si="15"/>
        <v>0</v>
      </c>
      <c r="T65" s="14"/>
      <c r="U65" s="14"/>
      <c r="V65" s="14"/>
      <c r="W65" s="14"/>
    </row>
    <row r="66" spans="1:23">
      <c r="A66" s="9"/>
      <c r="B66" s="9"/>
      <c r="C66" s="9"/>
      <c r="D66" s="9"/>
      <c r="E66" s="9"/>
      <c r="F66" s="9"/>
      <c r="G66" s="9"/>
      <c r="H66" s="14">
        <v>22</v>
      </c>
      <c r="I66" s="14" t="s">
        <v>120</v>
      </c>
      <c r="J66" s="57">
        <f>H25</f>
        <v>0.30964007534096488</v>
      </c>
      <c r="K66" s="57">
        <f>I25</f>
        <v>0.27646626318185608</v>
      </c>
      <c r="L66" s="14">
        <f t="shared" ca="1" si="8"/>
        <v>4</v>
      </c>
      <c r="M66" s="55">
        <f t="shared" ca="1" si="9"/>
        <v>0.27646626318185608</v>
      </c>
      <c r="N66" s="55">
        <f t="shared" ca="1" si="10"/>
        <v>0.30964007534096488</v>
      </c>
      <c r="O66" s="14">
        <f t="shared" ca="1" si="11"/>
        <v>0.27646626318185608</v>
      </c>
      <c r="P66" s="14">
        <f t="shared" ca="1" si="12"/>
        <v>1.5881345983126793E-2</v>
      </c>
      <c r="Q66" s="14">
        <f t="shared" ca="1" si="13"/>
        <v>1.7292466175982013E-2</v>
      </c>
      <c r="R66" s="14">
        <f t="shared" ca="1" si="14"/>
        <v>0</v>
      </c>
      <c r="S66" s="14">
        <f t="shared" ca="1" si="15"/>
        <v>0</v>
      </c>
      <c r="T66" s="9"/>
      <c r="U66" s="9"/>
      <c r="V66" s="9"/>
      <c r="W66" s="9"/>
    </row>
    <row r="67" spans="1:23">
      <c r="A67" s="9"/>
      <c r="B67" s="9"/>
      <c r="C67" s="9"/>
      <c r="D67" s="9"/>
      <c r="E67" s="9"/>
      <c r="F67" s="9"/>
      <c r="G67" s="9"/>
      <c r="H67" s="14">
        <v>27</v>
      </c>
      <c r="I67" s="14" t="s">
        <v>121</v>
      </c>
      <c r="J67" s="57">
        <f>H30</f>
        <v>0.29234760916498281</v>
      </c>
      <c r="K67" s="57">
        <f>I30</f>
        <v>0.29234760916498287</v>
      </c>
      <c r="L67" s="14">
        <f t="shared" ca="1" si="8"/>
        <v>4</v>
      </c>
      <c r="M67" s="55">
        <f t="shared" ca="1" si="9"/>
        <v>0.29234760916498281</v>
      </c>
      <c r="N67" s="55">
        <f t="shared" ca="1" si="10"/>
        <v>0.29234760916498287</v>
      </c>
      <c r="O67" s="14">
        <f t="shared" ca="1" si="11"/>
        <v>0.29234760916498281</v>
      </c>
      <c r="P67" s="14">
        <f t="shared" ca="1" si="12"/>
        <v>5.5511151231257827E-17</v>
      </c>
      <c r="Q67" s="14">
        <f t="shared" ca="1" si="13"/>
        <v>0</v>
      </c>
      <c r="R67" s="14">
        <f t="shared" ca="1" si="14"/>
        <v>0</v>
      </c>
      <c r="S67" s="14">
        <f t="shared" ca="1" si="15"/>
        <v>0</v>
      </c>
      <c r="T67" s="14"/>
      <c r="U67" s="14"/>
      <c r="V67" s="14"/>
      <c r="W67" s="9"/>
    </row>
    <row r="68" spans="1:23">
      <c r="A68" s="9"/>
      <c r="B68" s="9"/>
      <c r="C68" s="9"/>
      <c r="D68" s="9"/>
      <c r="E68" s="9"/>
      <c r="F68" s="9"/>
      <c r="G68" s="9"/>
      <c r="H68" s="9"/>
      <c r="I68" s="14"/>
      <c r="J68" s="14"/>
      <c r="K68" s="14"/>
      <c r="L68" s="14"/>
      <c r="M68" s="14"/>
      <c r="N68" s="14"/>
      <c r="O68" s="14" t="s">
        <v>628</v>
      </c>
      <c r="P68" s="14" t="s">
        <v>630</v>
      </c>
      <c r="Q68" s="14" t="s">
        <v>631</v>
      </c>
      <c r="R68" s="14" t="s">
        <v>631</v>
      </c>
      <c r="S68" s="14" t="s">
        <v>630</v>
      </c>
      <c r="T68" s="14"/>
      <c r="U68" s="14"/>
      <c r="V68" s="14"/>
      <c r="W68" s="9"/>
    </row>
    <row r="69" spans="1:23">
      <c r="A69" s="9"/>
      <c r="B69" s="9"/>
      <c r="C69" s="9"/>
      <c r="D69" s="9"/>
      <c r="E69" s="9"/>
      <c r="F69" s="9"/>
      <c r="G69" s="9"/>
      <c r="H69" s="9"/>
      <c r="I69" s="9"/>
      <c r="J69" s="9"/>
      <c r="K69" s="9"/>
      <c r="L69" s="9"/>
      <c r="M69" s="9"/>
      <c r="N69" s="9"/>
      <c r="O69" s="9"/>
      <c r="P69" s="9"/>
      <c r="Q69" s="9"/>
      <c r="R69" s="9"/>
      <c r="S69" s="9"/>
      <c r="T69" s="14"/>
      <c r="U69" s="14"/>
      <c r="V69" s="14"/>
      <c r="W69" s="9"/>
    </row>
    <row r="70" spans="1:23">
      <c r="A70" s="9"/>
      <c r="B70" s="9"/>
      <c r="C70" s="9"/>
      <c r="D70" s="9"/>
      <c r="E70" s="9"/>
      <c r="F70" s="9"/>
      <c r="G70" s="9"/>
      <c r="H70" s="14">
        <v>1</v>
      </c>
      <c r="I70" s="15" t="s">
        <v>8</v>
      </c>
      <c r="J70" s="58">
        <f ca="1">IF(Input!I32="Uneconomic",0,Input!I34)</f>
        <v>0.90558686462766402</v>
      </c>
      <c r="K70" s="58"/>
      <c r="L70" s="59" t="s">
        <v>627</v>
      </c>
      <c r="M70" s="59" t="s">
        <v>647</v>
      </c>
      <c r="N70" s="59" t="s">
        <v>648</v>
      </c>
      <c r="O70" s="60" t="s">
        <v>628</v>
      </c>
      <c r="P70" s="60" t="s">
        <v>654</v>
      </c>
      <c r="Q70" s="60" t="s">
        <v>655</v>
      </c>
      <c r="R70" s="60" t="s">
        <v>656</v>
      </c>
      <c r="S70" s="60" t="s">
        <v>657</v>
      </c>
      <c r="T70" s="14"/>
      <c r="U70" s="14"/>
      <c r="V70" s="14"/>
      <c r="W70" s="9"/>
    </row>
    <row r="71" spans="1:23">
      <c r="A71" s="9"/>
      <c r="B71" s="9"/>
      <c r="C71" s="9"/>
      <c r="D71" s="9"/>
      <c r="E71" s="9"/>
      <c r="F71" s="9"/>
      <c r="G71" s="9"/>
      <c r="H71" s="9">
        <f>H61+1</f>
        <v>3</v>
      </c>
      <c r="I71" s="14" t="s">
        <v>110</v>
      </c>
      <c r="J71" s="58">
        <f>H6</f>
        <v>0.73496524259808782</v>
      </c>
      <c r="K71" s="58">
        <f>I6</f>
        <v>1.23909144547766</v>
      </c>
      <c r="L71" s="14">
        <f t="shared" ref="L71:L77" ca="1" si="16">IF($J$70&lt;0,IF(N71&gt;0,2,1),IF(M71&gt;0,4,3))</f>
        <v>4</v>
      </c>
      <c r="M71" s="55">
        <f t="shared" ref="M71:M77" ca="1" si="17">IF($J$70=0,0,MIN(J71:K71,$J$70))</f>
        <v>0.73496524259808782</v>
      </c>
      <c r="N71" s="55">
        <f t="shared" ref="N71:N77" ca="1" si="18">IF($J$70=0,0,MAX(J71:K71,$J$70))</f>
        <v>1.23909144547766</v>
      </c>
      <c r="O71" s="14">
        <f t="shared" ref="O71:O77" ca="1" si="19">CHOOSE(L71,N71,0,0,M71)</f>
        <v>0.73496524259808782</v>
      </c>
      <c r="P71" s="14">
        <f t="shared" ref="P71:P77" ca="1" si="20">CHOOSE(L71,0,0,$J$70,$J$70-M71)</f>
        <v>0.1706216220295762</v>
      </c>
      <c r="Q71" s="14">
        <f t="shared" ref="Q71:Q77" ca="1" si="21">CHOOSE(L71,0,N71,N71-$J$70,N71-$J$70)</f>
        <v>0.33350458084999601</v>
      </c>
      <c r="R71" s="14">
        <f t="shared" ref="R71:R77" ca="1" si="22">CHOOSE(L71,$J$70-N71,$J$70,0,0)</f>
        <v>0</v>
      </c>
      <c r="S71" s="14">
        <f t="shared" ref="S71:S77" ca="1" si="23">CHOOSE(L71,M71-$J$70,M71-$J$70,M71,0)</f>
        <v>0</v>
      </c>
      <c r="T71" s="14"/>
      <c r="U71" s="14"/>
      <c r="V71" s="14"/>
      <c r="W71" s="9"/>
    </row>
    <row r="72" spans="1:23">
      <c r="A72" s="9"/>
      <c r="B72" s="9"/>
      <c r="C72" s="9"/>
      <c r="D72" s="9"/>
      <c r="E72" s="9"/>
      <c r="F72" s="9"/>
      <c r="G72" s="9"/>
      <c r="H72" s="9"/>
      <c r="I72" s="14" t="str">
        <f>I62</f>
        <v>Oil Price</v>
      </c>
      <c r="J72" s="58">
        <f>H36</f>
        <v>0.46749194582699721</v>
      </c>
      <c r="K72" s="58">
        <f>I36</f>
        <v>1.3457637202983854</v>
      </c>
      <c r="L72" s="14">
        <f t="shared" ca="1" si="16"/>
        <v>4</v>
      </c>
      <c r="M72" s="55">
        <f t="shared" ca="1" si="17"/>
        <v>0.46749194582699721</v>
      </c>
      <c r="N72" s="55">
        <f t="shared" ca="1" si="18"/>
        <v>1.3457637202983854</v>
      </c>
      <c r="O72" s="14">
        <f ca="1">CHOOSE(L72,N72,0,0,M72)</f>
        <v>0.46749194582699721</v>
      </c>
      <c r="P72" s="14">
        <f t="shared" ca="1" si="20"/>
        <v>0.43809491880066681</v>
      </c>
      <c r="Q72" s="14">
        <f t="shared" ca="1" si="21"/>
        <v>0.4401768556707214</v>
      </c>
      <c r="R72" s="14">
        <f t="shared" ca="1" si="22"/>
        <v>0</v>
      </c>
      <c r="S72" s="14">
        <f t="shared" ca="1" si="23"/>
        <v>0</v>
      </c>
      <c r="T72" s="14"/>
      <c r="U72" s="14"/>
      <c r="V72" s="14"/>
      <c r="W72" s="9"/>
    </row>
    <row r="73" spans="1:23">
      <c r="A73" s="9"/>
      <c r="B73" s="9"/>
      <c r="C73" s="9"/>
      <c r="D73" s="9"/>
      <c r="E73" s="9"/>
      <c r="F73" s="9"/>
      <c r="G73" s="9"/>
      <c r="H73" s="9">
        <f>H71+5</f>
        <v>8</v>
      </c>
      <c r="I73" s="14" t="str">
        <f>I53</f>
        <v>Gas Price</v>
      </c>
      <c r="J73" s="58">
        <f>H11</f>
        <v>0.85988080783473886</v>
      </c>
      <c r="K73" s="58">
        <f>I11</f>
        <v>0.95522710410778811</v>
      </c>
      <c r="L73" s="14">
        <f t="shared" ca="1" si="16"/>
        <v>4</v>
      </c>
      <c r="M73" s="55">
        <f t="shared" ca="1" si="17"/>
        <v>0.85988080783473886</v>
      </c>
      <c r="N73" s="55">
        <f t="shared" ca="1" si="18"/>
        <v>0.95522710410778811</v>
      </c>
      <c r="O73" s="14">
        <f t="shared" ca="1" si="19"/>
        <v>0.85988080783473886</v>
      </c>
      <c r="P73" s="14">
        <f t="shared" ca="1" si="20"/>
        <v>4.5706056792925165E-2</v>
      </c>
      <c r="Q73" s="14">
        <f t="shared" ca="1" si="21"/>
        <v>4.9640239480124082E-2</v>
      </c>
      <c r="R73" s="14">
        <f t="shared" ca="1" si="22"/>
        <v>0</v>
      </c>
      <c r="S73" s="14">
        <f t="shared" ca="1" si="23"/>
        <v>0</v>
      </c>
      <c r="T73" s="14"/>
      <c r="U73" s="14"/>
      <c r="V73" s="14"/>
      <c r="W73" s="9"/>
    </row>
    <row r="74" spans="1:23">
      <c r="A74" s="9"/>
      <c r="B74" s="9"/>
      <c r="C74" s="9"/>
      <c r="D74" s="9"/>
      <c r="E74" s="9"/>
      <c r="F74" s="9"/>
      <c r="G74" s="9"/>
      <c r="H74" s="9">
        <f>H73+5</f>
        <v>13</v>
      </c>
      <c r="I74" s="14" t="s">
        <v>118</v>
      </c>
      <c r="J74" s="58">
        <f>H16</f>
        <v>0.91579302291256415</v>
      </c>
      <c r="K74" s="58">
        <f>I16</f>
        <v>0.89612734441293207</v>
      </c>
      <c r="L74" s="14">
        <f t="shared" ca="1" si="16"/>
        <v>4</v>
      </c>
      <c r="M74" s="55">
        <f t="shared" ca="1" si="17"/>
        <v>0.89612734441293207</v>
      </c>
      <c r="N74" s="55">
        <f t="shared" ca="1" si="18"/>
        <v>0.91579302291256415</v>
      </c>
      <c r="O74" s="14">
        <f t="shared" ca="1" si="19"/>
        <v>0.89612734441293207</v>
      </c>
      <c r="P74" s="14">
        <f t="shared" ca="1" si="20"/>
        <v>9.4595202147319535E-3</v>
      </c>
      <c r="Q74" s="14">
        <f t="shared" ca="1" si="21"/>
        <v>1.0206158284900124E-2</v>
      </c>
      <c r="R74" s="14">
        <f t="shared" ca="1" si="22"/>
        <v>0</v>
      </c>
      <c r="S74" s="14">
        <f t="shared" ca="1" si="23"/>
        <v>0</v>
      </c>
      <c r="T74" s="14"/>
      <c r="U74" s="14"/>
      <c r="V74" s="14"/>
      <c r="W74" s="9"/>
    </row>
    <row r="75" spans="1:23">
      <c r="A75" s="9"/>
      <c r="B75" s="9"/>
      <c r="C75" s="9"/>
      <c r="D75" s="9"/>
      <c r="E75" s="9"/>
      <c r="F75" s="9"/>
      <c r="G75" s="9"/>
      <c r="H75" s="9">
        <f>H74+5</f>
        <v>18</v>
      </c>
      <c r="I75" s="14" t="s">
        <v>629</v>
      </c>
      <c r="J75" s="58">
        <f>H21</f>
        <v>1.3496898053792585</v>
      </c>
      <c r="K75" s="58">
        <f>I21</f>
        <v>0.59232986213545669</v>
      </c>
      <c r="L75" s="14">
        <f t="shared" ca="1" si="16"/>
        <v>4</v>
      </c>
      <c r="M75" s="55">
        <f t="shared" ca="1" si="17"/>
        <v>0.59232986213545669</v>
      </c>
      <c r="N75" s="55">
        <f t="shared" ca="1" si="18"/>
        <v>1.3496898053792585</v>
      </c>
      <c r="O75" s="14">
        <f t="shared" ca="1" si="19"/>
        <v>0.59232986213545669</v>
      </c>
      <c r="P75" s="14">
        <f t="shared" ca="1" si="20"/>
        <v>0.31325700249220734</v>
      </c>
      <c r="Q75" s="14">
        <f t="shared" ca="1" si="21"/>
        <v>0.44410294075159451</v>
      </c>
      <c r="R75" s="14">
        <f t="shared" ca="1" si="22"/>
        <v>0</v>
      </c>
      <c r="S75" s="14">
        <f t="shared" ca="1" si="23"/>
        <v>0</v>
      </c>
      <c r="T75" s="14"/>
      <c r="U75" s="14"/>
      <c r="V75" s="14"/>
      <c r="W75" s="9"/>
    </row>
    <row r="76" spans="1:23">
      <c r="A76" s="9"/>
      <c r="B76" s="9"/>
      <c r="C76" s="9"/>
      <c r="D76" s="9"/>
      <c r="E76" s="9"/>
      <c r="F76" s="9"/>
      <c r="G76" s="9"/>
      <c r="H76" s="9">
        <f>H75+5</f>
        <v>23</v>
      </c>
      <c r="I76" s="14" t="s">
        <v>120</v>
      </c>
      <c r="J76" s="58">
        <f>H26</f>
        <v>1.017649526599703</v>
      </c>
      <c r="K76" s="58">
        <f>I26</f>
        <v>0.79991392065947764</v>
      </c>
      <c r="L76" s="14">
        <f t="shared" ca="1" si="16"/>
        <v>4</v>
      </c>
      <c r="M76" s="55">
        <f t="shared" ca="1" si="17"/>
        <v>0.79991392065947764</v>
      </c>
      <c r="N76" s="55">
        <f t="shared" ca="1" si="18"/>
        <v>1.017649526599703</v>
      </c>
      <c r="O76" s="14">
        <f t="shared" ca="1" si="19"/>
        <v>0.79991392065947764</v>
      </c>
      <c r="P76" s="14">
        <f t="shared" ca="1" si="20"/>
        <v>0.10567294396818638</v>
      </c>
      <c r="Q76" s="14">
        <f t="shared" ca="1" si="21"/>
        <v>0.11206266197203896</v>
      </c>
      <c r="R76" s="14">
        <f t="shared" ca="1" si="22"/>
        <v>0</v>
      </c>
      <c r="S76" s="14">
        <f t="shared" ca="1" si="23"/>
        <v>0</v>
      </c>
      <c r="T76" s="9"/>
      <c r="U76" s="9"/>
      <c r="V76" s="9"/>
      <c r="W76" s="9"/>
    </row>
    <row r="77" spans="1:23">
      <c r="A77" s="9"/>
      <c r="B77" s="9"/>
      <c r="C77" s="9"/>
      <c r="D77" s="9"/>
      <c r="E77" s="9"/>
      <c r="F77" s="9"/>
      <c r="G77" s="9"/>
      <c r="H77" s="9">
        <f>H76+5</f>
        <v>28</v>
      </c>
      <c r="I77" s="14" t="s">
        <v>121</v>
      </c>
      <c r="J77" s="58">
        <f>H31</f>
        <v>0.90558686462766391</v>
      </c>
      <c r="K77" s="58">
        <f>I31</f>
        <v>0.90558686462766402</v>
      </c>
      <c r="L77" s="14">
        <f t="shared" ca="1" si="16"/>
        <v>4</v>
      </c>
      <c r="M77" s="55">
        <f t="shared" ca="1" si="17"/>
        <v>0.90558686462766391</v>
      </c>
      <c r="N77" s="55">
        <f t="shared" ca="1" si="18"/>
        <v>0.90558686462766402</v>
      </c>
      <c r="O77" s="14">
        <f t="shared" ca="1" si="19"/>
        <v>0.90558686462766391</v>
      </c>
      <c r="P77" s="14">
        <f t="shared" ca="1" si="20"/>
        <v>1.1102230246251565E-16</v>
      </c>
      <c r="Q77" s="14">
        <f t="shared" ca="1" si="21"/>
        <v>0</v>
      </c>
      <c r="R77" s="14">
        <f t="shared" ca="1" si="22"/>
        <v>0</v>
      </c>
      <c r="S77" s="14">
        <f t="shared" ca="1" si="23"/>
        <v>0</v>
      </c>
      <c r="T77" s="9"/>
      <c r="U77" s="9"/>
      <c r="V77" s="9"/>
      <c r="W77" s="9"/>
    </row>
    <row r="78" spans="1:23">
      <c r="A78" s="9"/>
      <c r="B78" s="9"/>
      <c r="C78" s="9"/>
      <c r="D78" s="9"/>
      <c r="E78" s="9"/>
      <c r="F78" s="9"/>
      <c r="G78" s="9"/>
      <c r="H78" s="9"/>
      <c r="I78" s="14"/>
      <c r="J78" s="14"/>
      <c r="K78" s="14"/>
      <c r="L78" s="14"/>
      <c r="M78" s="14"/>
      <c r="N78" s="14"/>
      <c r="O78" s="14" t="s">
        <v>628</v>
      </c>
      <c r="P78" s="14" t="s">
        <v>630</v>
      </c>
      <c r="Q78" s="14" t="s">
        <v>631</v>
      </c>
      <c r="R78" s="14" t="s">
        <v>631</v>
      </c>
      <c r="S78" s="14" t="s">
        <v>630</v>
      </c>
      <c r="T78" s="14"/>
      <c r="U78" s="14"/>
      <c r="V78" s="14"/>
      <c r="W78" s="9"/>
    </row>
    <row r="79" spans="1:23">
      <c r="A79" s="9"/>
      <c r="B79" s="9"/>
      <c r="C79" s="9"/>
      <c r="D79" s="9"/>
      <c r="E79" s="9"/>
      <c r="F79" s="9"/>
      <c r="G79" s="9"/>
      <c r="H79" s="9"/>
      <c r="I79" s="9"/>
      <c r="J79" s="9"/>
      <c r="K79" s="9"/>
      <c r="L79" s="9"/>
      <c r="M79" s="9"/>
      <c r="N79" s="9"/>
      <c r="O79" s="9"/>
      <c r="P79" s="9"/>
      <c r="Q79" s="9"/>
      <c r="R79" s="9"/>
      <c r="S79" s="9"/>
      <c r="T79" s="14"/>
      <c r="U79" s="14"/>
      <c r="V79" s="14"/>
      <c r="W79" s="9"/>
    </row>
    <row r="80" spans="1:23">
      <c r="A80" s="9"/>
      <c r="B80" s="9"/>
      <c r="C80" s="9"/>
      <c r="D80" s="9"/>
      <c r="E80" s="9"/>
      <c r="F80" s="9"/>
      <c r="G80" s="9"/>
      <c r="H80" s="9"/>
      <c r="I80" s="9"/>
      <c r="J80" s="9"/>
      <c r="K80" s="9"/>
      <c r="L80" s="9"/>
      <c r="M80" s="9"/>
      <c r="N80" s="9"/>
      <c r="O80" s="9"/>
      <c r="P80" s="9"/>
      <c r="Q80" s="9"/>
      <c r="R80" s="9"/>
      <c r="S80" s="9"/>
      <c r="T80" s="14"/>
      <c r="U80" s="14"/>
      <c r="V80" s="14"/>
      <c r="W80" s="9"/>
    </row>
    <row r="81" spans="1:23">
      <c r="A81" s="9"/>
      <c r="B81" s="9"/>
      <c r="C81" s="9"/>
      <c r="D81" s="9"/>
      <c r="E81" s="9"/>
      <c r="F81" s="9"/>
      <c r="G81" s="9"/>
      <c r="H81" s="14">
        <v>1</v>
      </c>
      <c r="I81" s="15" t="s">
        <v>9</v>
      </c>
      <c r="J81" s="58" t="str">
        <f ca="1">IF(Input!I32="Uneconomic",0,Input!I35)</f>
        <v>NA</v>
      </c>
      <c r="K81" s="58"/>
      <c r="L81" s="59" t="s">
        <v>627</v>
      </c>
      <c r="M81" s="59" t="s">
        <v>647</v>
      </c>
      <c r="N81" s="59" t="s">
        <v>648</v>
      </c>
      <c r="O81" s="60" t="s">
        <v>628</v>
      </c>
      <c r="P81" s="60" t="s">
        <v>654</v>
      </c>
      <c r="Q81" s="60" t="s">
        <v>655</v>
      </c>
      <c r="R81" s="60" t="s">
        <v>656</v>
      </c>
      <c r="S81" s="60" t="s">
        <v>657</v>
      </c>
      <c r="T81" s="14"/>
      <c r="U81" s="14"/>
      <c r="V81" s="14"/>
      <c r="W81" s="9"/>
    </row>
    <row r="82" spans="1:23">
      <c r="A82" s="9"/>
      <c r="B82" s="9"/>
      <c r="C82" s="9"/>
      <c r="D82" s="9"/>
      <c r="E82" s="9"/>
      <c r="F82" s="9"/>
      <c r="G82" s="9"/>
      <c r="H82" s="9">
        <f>H71+1</f>
        <v>4</v>
      </c>
      <c r="I82" s="14" t="s">
        <v>110</v>
      </c>
      <c r="J82" s="58" t="str">
        <f>H7</f>
        <v>NA</v>
      </c>
      <c r="K82" s="58" t="str">
        <f>I7</f>
        <v>NA</v>
      </c>
      <c r="L82" s="14">
        <f t="shared" ref="L82:L88" ca="1" si="24">IF($J$81&lt;0,IF(N82&gt;0,2,1),IF(M82&gt;0,4,3))</f>
        <v>3</v>
      </c>
      <c r="M82" s="55">
        <f t="shared" ref="M82:M88" ca="1" si="25">IF($J$81=0,0,MIN(J82:K82,$J$81))</f>
        <v>0</v>
      </c>
      <c r="N82" s="55">
        <f t="shared" ref="N82:N88" ca="1" si="26">IF($J$81=0,0,MAX(J82:K82,$J$81))</f>
        <v>0</v>
      </c>
      <c r="O82" s="14">
        <f t="shared" ref="O82:O88" ca="1" si="27">CHOOSE(L82,N82,0,0,M82)</f>
        <v>0</v>
      </c>
      <c r="P82" s="14" t="str">
        <f t="shared" ref="P82:P88" ca="1" si="28">CHOOSE(L82,0,0,$J$81,$J$81-M82)</f>
        <v>NA</v>
      </c>
      <c r="Q82" s="14" t="e">
        <f t="shared" ref="Q82:Q88" ca="1" si="29">CHOOSE(L82,0,N82,N82-$J$81,N82-$J$81)</f>
        <v>#VALUE!</v>
      </c>
      <c r="R82" s="14">
        <f t="shared" ref="R82:R88" ca="1" si="30">CHOOSE(L82,$J$81-N82,$J$81,0,0)</f>
        <v>0</v>
      </c>
      <c r="S82" s="14">
        <f t="shared" ref="S82:S88" ca="1" si="31">CHOOSE(L82,M82-$J$81,M82-$J$81,M82,0)</f>
        <v>0</v>
      </c>
      <c r="T82" s="14"/>
      <c r="U82" s="14"/>
      <c r="V82" s="14"/>
      <c r="W82" s="9"/>
    </row>
    <row r="83" spans="1:23">
      <c r="A83" s="9"/>
      <c r="B83" s="9"/>
      <c r="C83" s="9"/>
      <c r="D83" s="9"/>
      <c r="E83" s="9"/>
      <c r="F83" s="9"/>
      <c r="G83" s="9"/>
      <c r="H83" s="9"/>
      <c r="I83" s="14" t="str">
        <f>I72</f>
        <v>Oil Price</v>
      </c>
      <c r="J83" s="58" t="str">
        <f>H37</f>
        <v>NA</v>
      </c>
      <c r="K83" s="58" t="str">
        <f>I37</f>
        <v>NA</v>
      </c>
      <c r="L83" s="14">
        <f t="shared" ca="1" si="24"/>
        <v>3</v>
      </c>
      <c r="M83" s="55">
        <f t="shared" ca="1" si="25"/>
        <v>0</v>
      </c>
      <c r="N83" s="55">
        <f t="shared" ca="1" si="26"/>
        <v>0</v>
      </c>
      <c r="O83" s="14">
        <f ca="1">CHOOSE(L83,N83,0,0,M83)</f>
        <v>0</v>
      </c>
      <c r="P83" s="14" t="str">
        <f t="shared" ca="1" si="28"/>
        <v>NA</v>
      </c>
      <c r="Q83" s="14" t="e">
        <f t="shared" ca="1" si="29"/>
        <v>#VALUE!</v>
      </c>
      <c r="R83" s="14">
        <f t="shared" ca="1" si="30"/>
        <v>0</v>
      </c>
      <c r="S83" s="14">
        <f t="shared" ca="1" si="31"/>
        <v>0</v>
      </c>
      <c r="T83" s="14"/>
      <c r="U83" s="14"/>
      <c r="V83" s="14"/>
      <c r="W83" s="9"/>
    </row>
    <row r="84" spans="1:23">
      <c r="A84" s="9"/>
      <c r="B84" s="9"/>
      <c r="C84" s="9"/>
      <c r="D84" s="9"/>
      <c r="E84" s="9"/>
      <c r="F84" s="9"/>
      <c r="G84" s="9"/>
      <c r="H84" s="9">
        <f>H73+1</f>
        <v>9</v>
      </c>
      <c r="I84" s="14" t="str">
        <f>I53</f>
        <v>Gas Price</v>
      </c>
      <c r="J84" s="58" t="str">
        <f>H12</f>
        <v>NA</v>
      </c>
      <c r="K84" s="58" t="str">
        <f>I12</f>
        <v>NA</v>
      </c>
      <c r="L84" s="14">
        <f t="shared" ca="1" si="24"/>
        <v>3</v>
      </c>
      <c r="M84" s="55">
        <f t="shared" ca="1" si="25"/>
        <v>0</v>
      </c>
      <c r="N84" s="55">
        <f t="shared" ca="1" si="26"/>
        <v>0</v>
      </c>
      <c r="O84" s="14">
        <f t="shared" ca="1" si="27"/>
        <v>0</v>
      </c>
      <c r="P84" s="14" t="str">
        <f t="shared" ca="1" si="28"/>
        <v>NA</v>
      </c>
      <c r="Q84" s="14" t="e">
        <f t="shared" ca="1" si="29"/>
        <v>#VALUE!</v>
      </c>
      <c r="R84" s="14">
        <f t="shared" ca="1" si="30"/>
        <v>0</v>
      </c>
      <c r="S84" s="14">
        <f t="shared" ca="1" si="31"/>
        <v>0</v>
      </c>
      <c r="T84" s="14"/>
      <c r="U84" s="14"/>
      <c r="V84" s="14"/>
      <c r="W84" s="9"/>
    </row>
    <row r="85" spans="1:23">
      <c r="A85" s="9"/>
      <c r="B85" s="9"/>
      <c r="C85" s="9"/>
      <c r="D85" s="9"/>
      <c r="E85" s="9"/>
      <c r="F85" s="9"/>
      <c r="G85" s="9"/>
      <c r="H85" s="9">
        <f>H74+1</f>
        <v>14</v>
      </c>
      <c r="I85" s="14" t="s">
        <v>118</v>
      </c>
      <c r="J85" s="58" t="str">
        <f>H17</f>
        <v>NA</v>
      </c>
      <c r="K85" s="58" t="str">
        <f>I17</f>
        <v>NA</v>
      </c>
      <c r="L85" s="14">
        <f t="shared" ca="1" si="24"/>
        <v>3</v>
      </c>
      <c r="M85" s="55">
        <f t="shared" ca="1" si="25"/>
        <v>0</v>
      </c>
      <c r="N85" s="55">
        <f t="shared" ca="1" si="26"/>
        <v>0</v>
      </c>
      <c r="O85" s="14">
        <f t="shared" ca="1" si="27"/>
        <v>0</v>
      </c>
      <c r="P85" s="14" t="str">
        <f t="shared" ca="1" si="28"/>
        <v>NA</v>
      </c>
      <c r="Q85" s="14" t="e">
        <f t="shared" ca="1" si="29"/>
        <v>#VALUE!</v>
      </c>
      <c r="R85" s="14">
        <f t="shared" ca="1" si="30"/>
        <v>0</v>
      </c>
      <c r="S85" s="14">
        <f t="shared" ca="1" si="31"/>
        <v>0</v>
      </c>
      <c r="T85" s="14"/>
      <c r="U85" s="14"/>
      <c r="V85" s="14"/>
      <c r="W85" s="9"/>
    </row>
    <row r="86" spans="1:23">
      <c r="A86" s="9"/>
      <c r="B86" s="9"/>
      <c r="C86" s="9"/>
      <c r="D86" s="9"/>
      <c r="E86" s="9"/>
      <c r="F86" s="9"/>
      <c r="G86" s="9"/>
      <c r="H86" s="9">
        <f>H75+1</f>
        <v>19</v>
      </c>
      <c r="I86" s="14" t="s">
        <v>629</v>
      </c>
      <c r="J86" s="58" t="str">
        <f>H22</f>
        <v>NA</v>
      </c>
      <c r="K86" s="58" t="str">
        <f>I22</f>
        <v>NA</v>
      </c>
      <c r="L86" s="14">
        <f t="shared" ca="1" si="24"/>
        <v>3</v>
      </c>
      <c r="M86" s="55">
        <f t="shared" ca="1" si="25"/>
        <v>0</v>
      </c>
      <c r="N86" s="55">
        <f t="shared" ca="1" si="26"/>
        <v>0</v>
      </c>
      <c r="O86" s="14">
        <f t="shared" ca="1" si="27"/>
        <v>0</v>
      </c>
      <c r="P86" s="14" t="str">
        <f t="shared" ca="1" si="28"/>
        <v>NA</v>
      </c>
      <c r="Q86" s="14" t="e">
        <f t="shared" ca="1" si="29"/>
        <v>#VALUE!</v>
      </c>
      <c r="R86" s="14">
        <f t="shared" ca="1" si="30"/>
        <v>0</v>
      </c>
      <c r="S86" s="14">
        <f t="shared" ca="1" si="31"/>
        <v>0</v>
      </c>
      <c r="T86" s="14"/>
      <c r="U86" s="14"/>
      <c r="V86" s="14"/>
      <c r="W86" s="9"/>
    </row>
    <row r="87" spans="1:23">
      <c r="A87" s="9"/>
      <c r="B87" s="9"/>
      <c r="C87" s="9"/>
      <c r="D87" s="9"/>
      <c r="E87" s="9"/>
      <c r="F87" s="9"/>
      <c r="G87" s="9"/>
      <c r="H87" s="9">
        <f>H76+1</f>
        <v>24</v>
      </c>
      <c r="I87" s="14" t="s">
        <v>120</v>
      </c>
      <c r="J87" s="58" t="str">
        <f>H27</f>
        <v>NA</v>
      </c>
      <c r="K87" s="58" t="str">
        <f>I27</f>
        <v>NA</v>
      </c>
      <c r="L87" s="14">
        <f t="shared" ca="1" si="24"/>
        <v>3</v>
      </c>
      <c r="M87" s="55">
        <f t="shared" ca="1" si="25"/>
        <v>0</v>
      </c>
      <c r="N87" s="55">
        <f t="shared" ca="1" si="26"/>
        <v>0</v>
      </c>
      <c r="O87" s="14">
        <f t="shared" ca="1" si="27"/>
        <v>0</v>
      </c>
      <c r="P87" s="14" t="str">
        <f t="shared" ca="1" si="28"/>
        <v>NA</v>
      </c>
      <c r="Q87" s="14" t="e">
        <f t="shared" ca="1" si="29"/>
        <v>#VALUE!</v>
      </c>
      <c r="R87" s="14">
        <f t="shared" ca="1" si="30"/>
        <v>0</v>
      </c>
      <c r="S87" s="14">
        <f t="shared" ca="1" si="31"/>
        <v>0</v>
      </c>
      <c r="T87" s="9"/>
      <c r="U87" s="9"/>
      <c r="V87" s="9"/>
      <c r="W87" s="9"/>
    </row>
    <row r="88" spans="1:23">
      <c r="H88" s="9">
        <f>H77+1</f>
        <v>29</v>
      </c>
      <c r="I88" s="14" t="s">
        <v>121</v>
      </c>
      <c r="J88" s="58" t="str">
        <f>H32</f>
        <v>NA</v>
      </c>
      <c r="K88" s="58" t="str">
        <f>I32</f>
        <v>NA</v>
      </c>
      <c r="L88" s="14">
        <f t="shared" ca="1" si="24"/>
        <v>3</v>
      </c>
      <c r="M88" s="55">
        <f t="shared" ca="1" si="25"/>
        <v>0</v>
      </c>
      <c r="N88" s="55">
        <f t="shared" ca="1" si="26"/>
        <v>0</v>
      </c>
      <c r="O88" s="14">
        <f t="shared" ca="1" si="27"/>
        <v>0</v>
      </c>
      <c r="P88" s="14" t="str">
        <f t="shared" ca="1" si="28"/>
        <v>NA</v>
      </c>
      <c r="Q88" s="14" t="e">
        <f t="shared" ca="1" si="29"/>
        <v>#VALUE!</v>
      </c>
      <c r="R88" s="14">
        <f t="shared" ca="1" si="30"/>
        <v>0</v>
      </c>
      <c r="S88" s="14">
        <f t="shared" ca="1" si="31"/>
        <v>0</v>
      </c>
    </row>
    <row r="89" spans="1:23">
      <c r="H89" s="9"/>
      <c r="I89" s="14"/>
      <c r="J89" s="14"/>
      <c r="K89" s="14"/>
      <c r="L89" s="14"/>
      <c r="M89" s="14"/>
      <c r="N89" s="14"/>
      <c r="O89" s="14" t="s">
        <v>628</v>
      </c>
      <c r="P89" s="14" t="s">
        <v>630</v>
      </c>
      <c r="Q89" s="14" t="s">
        <v>631</v>
      </c>
      <c r="R89" s="14" t="s">
        <v>631</v>
      </c>
      <c r="S89" s="14" t="s">
        <v>630</v>
      </c>
    </row>
  </sheetData>
  <conditionalFormatting sqref="H4:I7 H9:I17 H19:I22 H24:I27 H29:I37">
    <cfRule type="cellIs" dxfId="30" priority="1" stopIfTrue="1" operator="greaterThan">
      <formula>0</formula>
    </cfRule>
    <cfRule type="cellIs" dxfId="29" priority="2" stopIfTrue="1" operator="lessThan">
      <formula>0</formula>
    </cfRule>
    <cfRule type="containsText" dxfId="28" priority="3" stopIfTrue="1" operator="containsText" text="Uneconomic">
      <formula>NOT(ISERROR(SEARCH("Uneconomic",H4)))</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tabColor rgb="FFFF0000"/>
    <pageSetUpPr fitToPage="1"/>
  </sheetPr>
  <dimension ref="A1:AJ55"/>
  <sheetViews>
    <sheetView showGridLines="0" showRowColHeaders="0" zoomScale="80" zoomScaleNormal="80" workbookViewId="0">
      <pane ySplit="2" topLeftCell="A6" activePane="bottomLeft" state="frozen"/>
      <selection activeCell="D43" sqref="D43"/>
      <selection pane="bottomLeft"/>
    </sheetView>
  </sheetViews>
  <sheetFormatPr defaultRowHeight="15"/>
  <cols>
    <col min="1" max="1" width="27.28515625" customWidth="1"/>
    <col min="2" max="2" width="32.140625" customWidth="1"/>
    <col min="3" max="3" width="16.28515625" customWidth="1"/>
    <col min="4" max="4" width="6.42578125" customWidth="1"/>
    <col min="6" max="6" width="15.7109375" customWidth="1"/>
  </cols>
  <sheetData>
    <row r="1" spans="1:36" ht="21">
      <c r="A1" s="265" t="str">
        <f>Input!B10</f>
        <v>Prospect X</v>
      </c>
      <c r="B1" s="266"/>
      <c r="C1" s="93" t="s">
        <v>756</v>
      </c>
      <c r="D1" s="14"/>
      <c r="E1" s="14"/>
      <c r="F1" s="14"/>
      <c r="G1" s="14"/>
      <c r="H1" s="14"/>
      <c r="I1" s="14"/>
      <c r="J1" s="14"/>
      <c r="K1" s="14"/>
      <c r="L1" s="14"/>
      <c r="M1" s="14"/>
      <c r="N1" s="14"/>
      <c r="O1" s="14"/>
      <c r="P1" s="14"/>
      <c r="Q1" s="14"/>
      <c r="R1" s="14"/>
      <c r="S1" s="14"/>
      <c r="T1" s="14"/>
      <c r="U1" s="14"/>
      <c r="V1" s="14"/>
      <c r="W1" s="14"/>
      <c r="X1" s="14"/>
      <c r="Y1" s="14"/>
      <c r="Z1" s="14"/>
      <c r="AA1" s="14"/>
      <c r="AB1" s="14"/>
      <c r="AC1" s="308"/>
      <c r="AD1" s="308"/>
      <c r="AE1" s="308"/>
      <c r="AF1" s="308"/>
      <c r="AG1" s="308"/>
      <c r="AH1" s="308"/>
      <c r="AI1" s="308"/>
      <c r="AJ1" s="308"/>
    </row>
    <row r="2" spans="1:36" ht="18.75">
      <c r="A2" s="309"/>
      <c r="B2" s="266"/>
      <c r="C2" s="93" t="s">
        <v>139</v>
      </c>
      <c r="D2" s="14"/>
      <c r="E2" s="14"/>
      <c r="F2" s="14"/>
      <c r="G2" s="14"/>
      <c r="H2" s="14"/>
      <c r="I2" s="14"/>
      <c r="J2" s="14"/>
      <c r="K2" s="14"/>
      <c r="L2" s="14"/>
      <c r="M2" s="14"/>
      <c r="N2" s="14"/>
      <c r="O2" s="14"/>
      <c r="P2" s="14"/>
      <c r="Q2" s="14"/>
      <c r="R2" s="14"/>
      <c r="S2" s="14"/>
      <c r="T2" s="14"/>
      <c r="U2" s="14"/>
      <c r="V2" s="14"/>
      <c r="W2" s="14"/>
      <c r="X2" s="14"/>
      <c r="Y2" s="14"/>
      <c r="Z2" s="14"/>
      <c r="AA2" s="14"/>
      <c r="AB2" s="14"/>
      <c r="AC2" s="308"/>
      <c r="AD2" s="308"/>
      <c r="AE2" s="308"/>
      <c r="AF2" s="308"/>
      <c r="AG2" s="308"/>
      <c r="AH2" s="308"/>
      <c r="AI2" s="308"/>
      <c r="AJ2" s="308"/>
    </row>
    <row r="3" spans="1:36" ht="15.75">
      <c r="A3" s="235" t="s">
        <v>64</v>
      </c>
      <c r="B3" s="257" t="str">
        <f>CashFlow!C3</f>
        <v>10% Nominal</v>
      </c>
      <c r="C3" s="14"/>
      <c r="D3" s="14"/>
      <c r="E3" s="14"/>
      <c r="F3" s="14"/>
      <c r="G3" s="14"/>
      <c r="H3" s="14"/>
      <c r="I3" s="14"/>
      <c r="J3" s="14"/>
      <c r="K3" s="14"/>
      <c r="L3" s="14"/>
      <c r="M3" s="14"/>
      <c r="N3" s="14"/>
      <c r="O3" s="14"/>
      <c r="P3" s="14"/>
      <c r="Q3" s="14"/>
      <c r="R3" s="14"/>
      <c r="S3" s="14"/>
      <c r="T3" s="14"/>
      <c r="U3" s="14"/>
      <c r="V3" s="14"/>
      <c r="W3" s="14"/>
      <c r="X3" s="14"/>
      <c r="Y3" s="14"/>
      <c r="Z3" s="14"/>
      <c r="AA3" s="14"/>
      <c r="AB3" s="14"/>
      <c r="AC3" s="308"/>
      <c r="AD3" s="308"/>
      <c r="AE3" s="308"/>
      <c r="AF3" s="308"/>
      <c r="AG3" s="308"/>
      <c r="AH3" s="308"/>
      <c r="AI3" s="308"/>
      <c r="AJ3" s="308"/>
    </row>
    <row r="4" spans="1:36" ht="15.75">
      <c r="A4" s="235" t="s">
        <v>65</v>
      </c>
      <c r="B4" s="269">
        <f ca="1">Input!I14</f>
        <v>46023</v>
      </c>
      <c r="C4" s="14"/>
      <c r="D4" s="14"/>
      <c r="E4" s="14"/>
      <c r="F4" s="14"/>
      <c r="G4" s="14"/>
      <c r="H4" s="14"/>
      <c r="I4" s="14"/>
      <c r="J4" s="14"/>
      <c r="K4" s="14"/>
      <c r="L4" s="14"/>
      <c r="M4" s="14"/>
      <c r="N4" s="14"/>
      <c r="O4" s="14"/>
      <c r="P4" s="14"/>
      <c r="Q4" s="14"/>
      <c r="R4" s="14"/>
      <c r="S4" s="14"/>
      <c r="T4" s="14"/>
      <c r="U4" s="14"/>
      <c r="V4" s="14"/>
      <c r="W4" s="14"/>
      <c r="X4" s="14"/>
      <c r="Y4" s="14"/>
      <c r="Z4" s="14"/>
      <c r="AA4" s="14"/>
      <c r="AB4" s="14"/>
      <c r="AC4" s="308"/>
      <c r="AD4" s="308"/>
      <c r="AE4" s="308"/>
      <c r="AF4" s="308"/>
      <c r="AG4" s="308"/>
      <c r="AH4" s="308"/>
      <c r="AI4" s="308"/>
      <c r="AJ4" s="308"/>
    </row>
    <row r="5" spans="1:36" ht="15.75">
      <c r="A5" s="235" t="s">
        <v>72</v>
      </c>
      <c r="B5" s="274" t="str">
        <f>'Selected Economics'!D3</f>
        <v>Base</v>
      </c>
      <c r="C5" s="14"/>
      <c r="D5" s="14"/>
      <c r="E5" s="14"/>
      <c r="F5" s="14"/>
      <c r="G5" s="14"/>
      <c r="H5" s="14"/>
      <c r="I5" s="14"/>
      <c r="J5" s="14"/>
      <c r="K5" s="14"/>
      <c r="L5" s="14"/>
      <c r="M5" s="14"/>
      <c r="N5" s="14"/>
      <c r="O5" s="14"/>
      <c r="P5" s="14"/>
      <c r="Q5" s="14"/>
      <c r="R5" s="14"/>
      <c r="S5" s="14"/>
      <c r="T5" s="14"/>
      <c r="U5" s="14"/>
      <c r="V5" s="14"/>
      <c r="W5" s="14"/>
      <c r="X5" s="14"/>
      <c r="Y5" s="14"/>
      <c r="Z5" s="14"/>
      <c r="AA5" s="14"/>
      <c r="AB5" s="14"/>
      <c r="AC5" s="308"/>
      <c r="AD5" s="308"/>
      <c r="AE5" s="308"/>
      <c r="AF5" s="308"/>
      <c r="AG5" s="308"/>
      <c r="AH5" s="308"/>
      <c r="AI5" s="308"/>
      <c r="AJ5" s="308"/>
    </row>
    <row r="6" spans="1:36" ht="15.75">
      <c r="A6" s="235" t="s">
        <v>73</v>
      </c>
      <c r="B6" s="274" t="str">
        <f>'Cost Assumptions'!O4</f>
        <v>NS NRR</v>
      </c>
      <c r="C6" s="14"/>
      <c r="D6" s="14"/>
      <c r="E6" s="14"/>
      <c r="F6" s="14"/>
      <c r="G6" s="14"/>
      <c r="H6" s="14"/>
      <c r="I6" s="14"/>
      <c r="J6" s="14"/>
      <c r="K6" s="14"/>
      <c r="L6" s="14"/>
      <c r="M6" s="14"/>
      <c r="N6" s="14"/>
      <c r="O6" s="14"/>
      <c r="P6" s="14"/>
      <c r="Q6" s="14"/>
      <c r="R6" s="14"/>
      <c r="S6" s="14"/>
      <c r="T6" s="14"/>
      <c r="U6" s="14"/>
      <c r="V6" s="14"/>
      <c r="W6" s="14"/>
      <c r="X6" s="14"/>
      <c r="Y6" s="14"/>
      <c r="Z6" s="14"/>
      <c r="AA6" s="14"/>
      <c r="AB6" s="14"/>
      <c r="AC6" s="308"/>
      <c r="AD6" s="308"/>
      <c r="AE6" s="308"/>
      <c r="AF6" s="308"/>
      <c r="AG6" s="308"/>
      <c r="AH6" s="308"/>
      <c r="AI6" s="308"/>
      <c r="AJ6" s="308"/>
    </row>
    <row r="7" spans="1:36" ht="18.75">
      <c r="A7" s="595" t="s">
        <v>74</v>
      </c>
      <c r="B7" s="596"/>
      <c r="C7" s="14"/>
      <c r="D7" s="14"/>
      <c r="E7" s="14"/>
      <c r="F7" s="14"/>
      <c r="G7" s="14"/>
      <c r="H7" s="14"/>
      <c r="I7" s="14"/>
      <c r="J7" s="14"/>
      <c r="K7" s="14"/>
      <c r="L7" s="14"/>
      <c r="M7" s="14"/>
      <c r="N7" s="14"/>
      <c r="O7" s="14"/>
      <c r="P7" s="14"/>
      <c r="Q7" s="14"/>
      <c r="R7" s="14"/>
      <c r="S7" s="14"/>
      <c r="T7" s="14"/>
      <c r="U7" s="14"/>
      <c r="V7" s="14"/>
      <c r="W7" s="14"/>
      <c r="X7" s="14"/>
      <c r="Y7" s="14"/>
      <c r="Z7" s="14"/>
      <c r="AA7" s="14"/>
      <c r="AB7" s="14"/>
      <c r="AC7" s="308"/>
      <c r="AD7" s="308"/>
      <c r="AE7" s="308"/>
      <c r="AF7" s="308"/>
      <c r="AG7" s="308"/>
      <c r="AH7" s="308"/>
      <c r="AI7" s="308"/>
      <c r="AJ7" s="308"/>
    </row>
    <row r="8" spans="1:36" ht="15.75">
      <c r="A8" s="235" t="s">
        <v>79</v>
      </c>
      <c r="B8" s="282">
        <f>Input!B12</f>
        <v>45200</v>
      </c>
      <c r="C8" s="14"/>
      <c r="D8" s="14"/>
      <c r="E8" s="14"/>
      <c r="F8" s="14"/>
      <c r="G8" s="14"/>
      <c r="H8" s="14"/>
      <c r="I8" s="14"/>
      <c r="J8" s="14"/>
      <c r="K8" s="14"/>
      <c r="L8" s="14"/>
      <c r="M8" s="14"/>
      <c r="N8" s="14"/>
      <c r="O8" s="14"/>
      <c r="P8" s="14"/>
      <c r="Q8" s="14"/>
      <c r="R8" s="14"/>
      <c r="S8" s="14"/>
      <c r="T8" s="14"/>
      <c r="U8" s="14"/>
      <c r="V8" s="14"/>
      <c r="W8" s="14"/>
      <c r="X8" s="14"/>
      <c r="Y8" s="14"/>
      <c r="Z8" s="14"/>
      <c r="AA8" s="14"/>
      <c r="AB8" s="14"/>
      <c r="AC8" s="308"/>
      <c r="AD8" s="308"/>
      <c r="AE8" s="308"/>
      <c r="AF8" s="308"/>
      <c r="AG8" s="308"/>
      <c r="AH8" s="308"/>
      <c r="AI8" s="308"/>
      <c r="AJ8" s="308"/>
    </row>
    <row r="9" spans="1:36" ht="15.75">
      <c r="A9" s="235" t="s">
        <v>80</v>
      </c>
      <c r="B9" s="282" t="str">
        <f>Input!B16</f>
        <v>FPSO</v>
      </c>
      <c r="C9" s="14"/>
      <c r="D9" s="14"/>
      <c r="E9" s="14"/>
      <c r="F9" s="14"/>
      <c r="G9" s="14"/>
      <c r="H9" s="14"/>
      <c r="I9" s="14"/>
      <c r="J9" s="14"/>
      <c r="K9" s="14"/>
      <c r="L9" s="14"/>
      <c r="M9" s="14"/>
      <c r="N9" s="14"/>
      <c r="O9" s="14"/>
      <c r="P9" s="14"/>
      <c r="Q9" s="14"/>
      <c r="R9" s="14"/>
      <c r="S9" s="14"/>
      <c r="T9" s="14"/>
      <c r="U9" s="14"/>
      <c r="V9" s="14"/>
      <c r="W9" s="14"/>
      <c r="X9" s="14"/>
      <c r="Y9" s="14"/>
      <c r="Z9" s="14"/>
      <c r="AA9" s="14"/>
      <c r="AB9" s="14"/>
      <c r="AC9" s="308"/>
      <c r="AD9" s="308"/>
      <c r="AE9" s="308"/>
      <c r="AF9" s="308"/>
      <c r="AG9" s="308"/>
      <c r="AH9" s="308"/>
      <c r="AI9" s="308"/>
      <c r="AJ9" s="308"/>
    </row>
    <row r="10" spans="1:36" ht="15.75">
      <c r="A10" s="235" t="s">
        <v>82</v>
      </c>
      <c r="B10" s="287" t="str">
        <f>Thresholds!B15</f>
        <v>To Infrastructure</v>
      </c>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308"/>
      <c r="AD10" s="308"/>
      <c r="AE10" s="308"/>
      <c r="AF10" s="308"/>
      <c r="AG10" s="308"/>
      <c r="AH10" s="308"/>
      <c r="AI10" s="308"/>
      <c r="AJ10" s="308"/>
    </row>
    <row r="11" spans="1:36" ht="15.75">
      <c r="A11" s="235" t="s">
        <v>84</v>
      </c>
      <c r="B11" s="287">
        <f>Thresholds!B16</f>
        <v>250</v>
      </c>
      <c r="C11" s="14"/>
      <c r="D11" s="14"/>
      <c r="E11" s="14"/>
      <c r="F11" s="14"/>
      <c r="G11" s="14"/>
      <c r="H11" s="14"/>
      <c r="I11" s="14"/>
      <c r="J11" s="14"/>
      <c r="K11" s="14"/>
      <c r="L11" s="14"/>
      <c r="M11" s="14"/>
      <c r="N11" s="14"/>
      <c r="O11" s="14"/>
      <c r="P11" s="14"/>
      <c r="Q11" s="14"/>
      <c r="R11" s="14"/>
      <c r="S11" s="14"/>
      <c r="T11" s="14"/>
      <c r="U11" s="14"/>
      <c r="V11" s="14"/>
      <c r="W11" s="14"/>
      <c r="X11" s="14"/>
      <c r="Y11" s="14"/>
      <c r="Z11" s="14"/>
      <c r="AA11" s="14"/>
      <c r="AB11" s="14"/>
      <c r="AC11" s="308"/>
      <c r="AD11" s="308"/>
      <c r="AE11" s="308"/>
      <c r="AF11" s="308"/>
      <c r="AG11" s="308"/>
      <c r="AH11" s="308"/>
      <c r="AI11" s="308"/>
      <c r="AJ11" s="308"/>
    </row>
    <row r="12" spans="1:36" ht="15.75">
      <c r="A12" s="235" t="str">
        <f>Thresholds!A17</f>
        <v>Pipeline Percent Deepwater</v>
      </c>
      <c r="B12" s="257">
        <f>Thresholds!B17</f>
        <v>0.3</v>
      </c>
      <c r="C12" s="14"/>
      <c r="D12" s="14"/>
      <c r="E12" s="14"/>
      <c r="F12" s="14"/>
      <c r="G12" s="14"/>
      <c r="H12" s="14"/>
      <c r="I12" s="14"/>
      <c r="J12" s="14"/>
      <c r="K12" s="14"/>
      <c r="L12" s="14"/>
      <c r="M12" s="14"/>
      <c r="N12" s="14"/>
      <c r="O12" s="14"/>
      <c r="P12" s="14"/>
      <c r="Q12" s="14"/>
      <c r="R12" s="14"/>
      <c r="S12" s="14"/>
      <c r="T12" s="14"/>
      <c r="U12" s="14"/>
      <c r="V12" s="14"/>
      <c r="W12" s="14"/>
      <c r="X12" s="14"/>
      <c r="Y12" s="14"/>
      <c r="Z12" s="14"/>
      <c r="AA12" s="14"/>
      <c r="AB12" s="14"/>
      <c r="AC12" s="308"/>
      <c r="AD12" s="308"/>
      <c r="AE12" s="308"/>
      <c r="AF12" s="308"/>
      <c r="AG12" s="308"/>
      <c r="AH12" s="308"/>
      <c r="AI12" s="308"/>
      <c r="AJ12" s="308"/>
    </row>
    <row r="13" spans="1:36" ht="18.75">
      <c r="A13" s="595" t="s">
        <v>85</v>
      </c>
      <c r="B13" s="596"/>
      <c r="C13" s="14"/>
      <c r="D13" s="14"/>
      <c r="E13" s="14"/>
      <c r="F13" s="14"/>
      <c r="G13" s="14"/>
      <c r="H13" s="14"/>
      <c r="I13" s="14"/>
      <c r="J13" s="14"/>
      <c r="K13" s="14"/>
      <c r="L13" s="14"/>
      <c r="M13" s="14"/>
      <c r="N13" s="14"/>
      <c r="O13" s="14"/>
      <c r="P13" s="14"/>
      <c r="Q13" s="14"/>
      <c r="R13" s="14"/>
      <c r="S13" s="14"/>
      <c r="T13" s="14"/>
      <c r="U13" s="14"/>
      <c r="V13" s="14"/>
      <c r="W13" s="14"/>
      <c r="X13" s="14"/>
      <c r="Y13" s="14"/>
      <c r="Z13" s="14"/>
      <c r="AA13" s="14"/>
      <c r="AB13" s="14"/>
      <c r="AC13" s="308"/>
      <c r="AD13" s="308"/>
      <c r="AE13" s="308"/>
      <c r="AF13" s="308"/>
      <c r="AG13" s="308"/>
      <c r="AH13" s="308"/>
      <c r="AI13" s="308"/>
      <c r="AJ13" s="308"/>
    </row>
    <row r="14" spans="1:36" ht="15.75">
      <c r="A14" s="235" t="s">
        <v>78</v>
      </c>
      <c r="B14" s="257">
        <f>Input!B22</f>
        <v>1</v>
      </c>
      <c r="C14" s="14"/>
      <c r="D14" s="14"/>
      <c r="E14" s="14"/>
      <c r="F14" s="14"/>
      <c r="G14" s="14"/>
      <c r="H14" s="14"/>
      <c r="I14" s="14"/>
      <c r="J14" s="14"/>
      <c r="K14" s="14"/>
      <c r="L14" s="14"/>
      <c r="M14" s="14"/>
      <c r="N14" s="14"/>
      <c r="O14" s="14"/>
      <c r="P14" s="14"/>
      <c r="Q14" s="14"/>
      <c r="R14" s="14"/>
      <c r="S14" s="14"/>
      <c r="T14" s="14"/>
      <c r="U14" s="14"/>
      <c r="V14" s="14"/>
      <c r="W14" s="14"/>
      <c r="X14" s="14"/>
      <c r="Y14" s="14"/>
      <c r="Z14" s="14"/>
      <c r="AA14" s="14"/>
      <c r="AB14" s="14"/>
      <c r="AC14" s="308"/>
      <c r="AD14" s="308"/>
      <c r="AE14" s="308"/>
      <c r="AF14" s="308"/>
      <c r="AG14" s="308"/>
      <c r="AH14" s="308"/>
      <c r="AI14" s="308"/>
      <c r="AJ14" s="308"/>
    </row>
    <row r="15" spans="1:36" ht="15.75">
      <c r="A15" s="235" t="s">
        <v>86</v>
      </c>
      <c r="B15" s="257">
        <f>Input!B23</f>
        <v>1</v>
      </c>
      <c r="C15" s="14"/>
      <c r="D15" s="14"/>
      <c r="E15" s="14"/>
      <c r="F15" s="14"/>
      <c r="G15" s="14"/>
      <c r="H15" s="14"/>
      <c r="I15" s="14"/>
      <c r="J15" s="14"/>
      <c r="K15" s="14"/>
      <c r="L15" s="14"/>
      <c r="M15" s="14"/>
      <c r="N15" s="14"/>
      <c r="O15" s="14"/>
      <c r="P15" s="14"/>
      <c r="Q15" s="14"/>
      <c r="R15" s="14"/>
      <c r="S15" s="14"/>
      <c r="T15" s="14"/>
      <c r="U15" s="14"/>
      <c r="V15" s="14"/>
      <c r="W15" s="14"/>
      <c r="X15" s="14"/>
      <c r="Y15" s="14"/>
      <c r="Z15" s="14"/>
      <c r="AA15" s="14"/>
      <c r="AB15" s="14"/>
      <c r="AC15" s="308"/>
      <c r="AD15" s="308"/>
      <c r="AE15" s="308"/>
      <c r="AF15" s="308"/>
      <c r="AG15" s="308"/>
      <c r="AH15" s="308"/>
      <c r="AI15" s="308"/>
      <c r="AJ15" s="308"/>
    </row>
    <row r="16" spans="1:36" ht="15.75">
      <c r="A16" s="235" t="s">
        <v>87</v>
      </c>
      <c r="B16" s="257">
        <f>Input!B24</f>
        <v>1</v>
      </c>
      <c r="C16" s="14"/>
      <c r="D16" s="14"/>
      <c r="E16" s="14"/>
      <c r="F16" s="14"/>
      <c r="G16" s="14"/>
      <c r="H16" s="14"/>
      <c r="I16" s="14"/>
      <c r="J16" s="14"/>
      <c r="K16" s="14"/>
      <c r="L16" s="14"/>
      <c r="M16" s="14"/>
      <c r="N16" s="14"/>
      <c r="O16" s="14"/>
      <c r="P16" s="14"/>
      <c r="Q16" s="14"/>
      <c r="R16" s="14"/>
      <c r="S16" s="14"/>
      <c r="T16" s="14"/>
      <c r="U16" s="14"/>
      <c r="V16" s="14"/>
      <c r="W16" s="14"/>
      <c r="X16" s="14"/>
      <c r="Y16" s="14"/>
      <c r="Z16" s="14"/>
      <c r="AA16" s="14"/>
      <c r="AB16" s="14"/>
      <c r="AC16" s="308"/>
      <c r="AD16" s="308"/>
      <c r="AE16" s="308"/>
      <c r="AF16" s="308"/>
      <c r="AG16" s="308"/>
      <c r="AH16" s="308"/>
      <c r="AI16" s="308"/>
      <c r="AJ16" s="308"/>
    </row>
    <row r="17" spans="1:36" ht="16.5" customHeight="1">
      <c r="A17" s="235" t="s">
        <v>88</v>
      </c>
      <c r="B17" s="257">
        <f>Input!B25</f>
        <v>1</v>
      </c>
      <c r="C17" s="14"/>
      <c r="D17" s="14"/>
      <c r="E17" s="14"/>
      <c r="F17" s="14"/>
      <c r="G17" s="14"/>
      <c r="H17" s="14"/>
      <c r="I17" s="14"/>
      <c r="J17" s="14"/>
      <c r="K17" s="14"/>
      <c r="L17" s="14"/>
      <c r="M17" s="14"/>
      <c r="N17" s="14"/>
      <c r="O17" s="14"/>
      <c r="P17" s="14"/>
      <c r="Q17" s="14"/>
      <c r="R17" s="14"/>
      <c r="S17" s="14"/>
      <c r="T17" s="14"/>
      <c r="U17" s="14"/>
      <c r="V17" s="14"/>
      <c r="W17" s="14"/>
      <c r="X17" s="14"/>
      <c r="Y17" s="14"/>
      <c r="Z17" s="14"/>
      <c r="AA17" s="14"/>
      <c r="AB17" s="14"/>
      <c r="AC17" s="308"/>
      <c r="AD17" s="308"/>
      <c r="AE17" s="308"/>
      <c r="AF17" s="308"/>
      <c r="AG17" s="308"/>
      <c r="AH17" s="308"/>
      <c r="AI17" s="308"/>
      <c r="AJ17" s="308"/>
    </row>
    <row r="18" spans="1:36" ht="22.5" customHeight="1">
      <c r="A18" s="595" t="s">
        <v>89</v>
      </c>
      <c r="B18" s="596"/>
      <c r="C18" s="14"/>
      <c r="D18" s="14"/>
      <c r="E18" s="14"/>
      <c r="F18" s="14"/>
      <c r="G18" s="14"/>
      <c r="H18" s="14"/>
      <c r="I18" s="14"/>
      <c r="J18" s="14"/>
      <c r="K18" s="14"/>
      <c r="L18" s="14"/>
      <c r="M18" s="14"/>
      <c r="N18" s="14"/>
      <c r="O18" s="14"/>
      <c r="P18" s="14"/>
      <c r="Q18" s="14"/>
      <c r="R18" s="14"/>
      <c r="S18" s="14"/>
      <c r="T18" s="14"/>
      <c r="U18" s="14"/>
      <c r="V18" s="14"/>
      <c r="W18" s="14"/>
      <c r="X18" s="14"/>
      <c r="Y18" s="14"/>
      <c r="Z18" s="14"/>
      <c r="AA18" s="14"/>
      <c r="AB18" s="14"/>
      <c r="AC18" s="308"/>
      <c r="AD18" s="308"/>
      <c r="AE18" s="308"/>
      <c r="AF18" s="308"/>
      <c r="AG18" s="308"/>
      <c r="AH18" s="308"/>
      <c r="AI18" s="308"/>
      <c r="AJ18" s="308"/>
    </row>
    <row r="19" spans="1:36" ht="23.25" customHeight="1">
      <c r="A19" s="235" t="str">
        <f>Thresholds!A24</f>
        <v>Product Type</v>
      </c>
      <c r="B19" s="274" t="str">
        <f>Thresholds!B24</f>
        <v>Oil</v>
      </c>
      <c r="C19" s="14"/>
      <c r="D19" s="14"/>
      <c r="E19" s="14"/>
      <c r="F19" s="622" t="str">
        <f>"Government Take as a Percentage of Risked Cash Flow for Varying Reserves ("&amp;IF(B19="Gas","bcf","mmbbl")&amp;")"</f>
        <v>Government Take as a Percentage of Risked Cash Flow for Varying Reserves (mmbbl)</v>
      </c>
      <c r="G19" s="622"/>
      <c r="H19" s="622"/>
      <c r="I19" s="622"/>
      <c r="J19" s="622"/>
      <c r="K19" s="622"/>
      <c r="L19" s="622"/>
      <c r="M19" s="622"/>
      <c r="N19" s="622"/>
      <c r="O19" s="14"/>
      <c r="P19" s="14"/>
      <c r="Q19" s="14"/>
      <c r="R19" s="14"/>
      <c r="S19" s="14"/>
      <c r="T19" s="14"/>
      <c r="U19" s="14"/>
      <c r="V19" s="14"/>
      <c r="W19" s="14"/>
      <c r="X19" s="14"/>
      <c r="Y19" s="14"/>
      <c r="Z19" s="14"/>
      <c r="AA19" s="14"/>
      <c r="AB19" s="14"/>
      <c r="AC19" s="308"/>
      <c r="AD19" s="308"/>
      <c r="AE19" s="308"/>
      <c r="AF19" s="308"/>
      <c r="AG19" s="308"/>
      <c r="AH19" s="308"/>
      <c r="AI19" s="308"/>
      <c r="AJ19" s="308"/>
    </row>
    <row r="20" spans="1:36" ht="16.5" customHeight="1">
      <c r="A20" s="235" t="str">
        <f>Input!A14</f>
        <v>Mean Reserves (mmbbl)</v>
      </c>
      <c r="B20" s="274">
        <f>Input!B14</f>
        <v>290</v>
      </c>
      <c r="C20" s="14"/>
      <c r="D20" s="14"/>
      <c r="E20" s="14"/>
      <c r="F20" s="622"/>
      <c r="G20" s="622"/>
      <c r="H20" s="622"/>
      <c r="I20" s="622"/>
      <c r="J20" s="622"/>
      <c r="K20" s="622"/>
      <c r="L20" s="622"/>
      <c r="M20" s="622"/>
      <c r="N20" s="622"/>
      <c r="O20" s="14"/>
      <c r="P20" s="14"/>
      <c r="Q20" s="14"/>
      <c r="R20" s="14"/>
      <c r="S20" s="14"/>
      <c r="T20" s="14"/>
      <c r="U20" s="14"/>
      <c r="V20" s="14"/>
      <c r="W20" s="14"/>
      <c r="X20" s="14"/>
      <c r="Y20" s="14"/>
      <c r="Z20" s="14"/>
      <c r="AA20" s="14"/>
      <c r="AB20" s="14"/>
      <c r="AC20" s="308"/>
      <c r="AD20" s="308"/>
      <c r="AE20" s="308"/>
      <c r="AF20" s="308"/>
      <c r="AG20" s="308"/>
      <c r="AH20" s="308"/>
      <c r="AI20" s="308"/>
      <c r="AJ20" s="308"/>
    </row>
    <row r="21" spans="1:36" ht="15.75">
      <c r="A21" s="235" t="s">
        <v>90</v>
      </c>
      <c r="B21" s="274">
        <f>Input!B27</f>
        <v>5000</v>
      </c>
      <c r="C21" s="14"/>
      <c r="D21" s="14"/>
      <c r="E21" s="14"/>
      <c r="F21" s="14"/>
      <c r="G21" s="14"/>
      <c r="H21" s="14"/>
      <c r="I21" s="14"/>
      <c r="J21" s="14"/>
      <c r="K21" s="14"/>
      <c r="L21" s="14"/>
      <c r="M21" s="14"/>
      <c r="N21" s="14"/>
      <c r="O21" s="14"/>
      <c r="P21" s="14"/>
      <c r="Q21" s="14"/>
      <c r="R21" s="14"/>
      <c r="S21" s="14"/>
      <c r="T21" s="14"/>
      <c r="U21" s="14"/>
      <c r="V21" s="14"/>
      <c r="W21" s="14"/>
      <c r="X21" s="14"/>
      <c r="Y21" s="14"/>
      <c r="Z21" s="14"/>
      <c r="AA21" s="14"/>
      <c r="AB21" s="14"/>
      <c r="AC21" s="308"/>
      <c r="AD21" s="308"/>
      <c r="AE21" s="308"/>
      <c r="AF21" s="308"/>
      <c r="AG21" s="308"/>
      <c r="AH21" s="308"/>
      <c r="AI21" s="308"/>
      <c r="AJ21" s="308"/>
    </row>
    <row r="22" spans="1:36" ht="15.75">
      <c r="A22" s="235" t="s">
        <v>91</v>
      </c>
      <c r="B22" s="274" t="str">
        <f>Input!B28</f>
        <v>Low</v>
      </c>
      <c r="C22" s="14"/>
      <c r="D22" s="14"/>
      <c r="E22" s="14"/>
      <c r="F22" s="14"/>
      <c r="G22" s="14"/>
      <c r="H22" s="14"/>
      <c r="I22" s="14"/>
      <c r="J22" s="14"/>
      <c r="K22" s="14"/>
      <c r="L22" s="14"/>
      <c r="M22" s="14"/>
      <c r="N22" s="14"/>
      <c r="O22" s="14"/>
      <c r="P22" s="14"/>
      <c r="Q22" s="14"/>
      <c r="R22" s="14"/>
      <c r="S22" s="14"/>
      <c r="T22" s="14"/>
      <c r="U22" s="14"/>
      <c r="V22" s="14"/>
      <c r="W22" s="14"/>
      <c r="X22" s="14"/>
      <c r="Y22" s="14"/>
      <c r="Z22" s="14"/>
      <c r="AA22" s="14"/>
      <c r="AB22" s="14"/>
      <c r="AC22" s="308"/>
      <c r="AD22" s="308"/>
      <c r="AE22" s="308"/>
      <c r="AF22" s="308"/>
      <c r="AG22" s="308"/>
      <c r="AH22" s="308"/>
      <c r="AI22" s="308"/>
      <c r="AJ22" s="308"/>
    </row>
    <row r="23" spans="1:36" ht="15.75">
      <c r="A23" s="235" t="s">
        <v>93</v>
      </c>
      <c r="B23" s="274" t="str">
        <f>Input!B29</f>
        <v>Medium</v>
      </c>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308"/>
      <c r="AD23" s="308"/>
      <c r="AE23" s="308"/>
      <c r="AF23" s="308"/>
      <c r="AG23" s="308"/>
      <c r="AH23" s="308"/>
      <c r="AI23" s="308"/>
      <c r="AJ23" s="308"/>
    </row>
    <row r="24" spans="1:36" ht="15.75">
      <c r="A24" s="235" t="s">
        <v>94</v>
      </c>
      <c r="B24" s="274" t="str">
        <f>Input!B30</f>
        <v>Normally Pressured</v>
      </c>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308"/>
      <c r="AD24" s="308"/>
      <c r="AE24" s="308"/>
      <c r="AF24" s="308"/>
      <c r="AG24" s="308"/>
      <c r="AH24" s="308"/>
      <c r="AI24" s="308"/>
      <c r="AJ24" s="308"/>
    </row>
    <row r="25" spans="1:36" ht="15.75">
      <c r="A25" s="235" t="s">
        <v>96</v>
      </c>
      <c r="B25" s="274">
        <f>Input!B31</f>
        <v>1040</v>
      </c>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308"/>
      <c r="AD25" s="308"/>
      <c r="AE25" s="308"/>
      <c r="AF25" s="308"/>
      <c r="AG25" s="308"/>
      <c r="AH25" s="308"/>
      <c r="AI25" s="308"/>
      <c r="AJ25" s="308"/>
    </row>
    <row r="26" spans="1:36" ht="15.75">
      <c r="A26" s="235" t="s">
        <v>97</v>
      </c>
      <c r="B26" s="274">
        <f>Input!B32</f>
        <v>3333.3</v>
      </c>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308"/>
      <c r="AD26" s="308"/>
      <c r="AE26" s="308"/>
      <c r="AF26" s="308"/>
      <c r="AG26" s="308"/>
      <c r="AH26" s="308"/>
      <c r="AI26" s="308"/>
      <c r="AJ26" s="308"/>
    </row>
    <row r="27" spans="1:36" ht="15.75">
      <c r="A27" s="235" t="s">
        <v>98</v>
      </c>
      <c r="B27" s="274" t="str">
        <f>Input!B33</f>
        <v>Sweet</v>
      </c>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308"/>
      <c r="AD27" s="308"/>
      <c r="AE27" s="308"/>
      <c r="AF27" s="308"/>
      <c r="AG27" s="308"/>
      <c r="AH27" s="308"/>
      <c r="AI27" s="308"/>
      <c r="AJ27" s="308"/>
    </row>
    <row r="28" spans="1:36" ht="15.75">
      <c r="A28" s="235" t="s">
        <v>100</v>
      </c>
      <c r="B28" s="274">
        <f>Input!B15</f>
        <v>3000</v>
      </c>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308"/>
      <c r="AD28" s="308"/>
      <c r="AE28" s="308"/>
      <c r="AF28" s="308"/>
      <c r="AG28" s="308"/>
      <c r="AH28" s="308"/>
      <c r="AI28" s="308"/>
      <c r="AJ28" s="308"/>
    </row>
    <row r="29" spans="1:36" ht="18.75">
      <c r="A29" s="595" t="s">
        <v>102</v>
      </c>
      <c r="B29" s="596"/>
      <c r="C29" s="14"/>
      <c r="D29" s="14"/>
      <c r="E29" s="14"/>
      <c r="F29" s="14"/>
      <c r="G29" s="14"/>
      <c r="H29" s="14"/>
      <c r="I29" s="14"/>
      <c r="J29" s="14"/>
      <c r="K29" s="14"/>
      <c r="L29" s="14"/>
      <c r="M29" s="14"/>
      <c r="N29" s="14"/>
      <c r="O29" s="14"/>
      <c r="P29" s="14"/>
      <c r="Q29" s="14"/>
      <c r="R29" s="14"/>
      <c r="S29" s="14"/>
      <c r="T29" s="14"/>
      <c r="U29" s="14"/>
      <c r="V29" s="14"/>
      <c r="W29" s="14"/>
      <c r="X29" s="14"/>
      <c r="Y29" s="14"/>
      <c r="Z29" s="14"/>
      <c r="AA29" s="14"/>
      <c r="AB29" s="14"/>
      <c r="AC29" s="308"/>
      <c r="AD29" s="308"/>
      <c r="AE29" s="308"/>
      <c r="AF29" s="308"/>
      <c r="AG29" s="308"/>
      <c r="AH29" s="308"/>
      <c r="AI29" s="308"/>
      <c r="AJ29" s="308"/>
    </row>
    <row r="30" spans="1:36" ht="15.75">
      <c r="A30" s="235" t="s">
        <v>103</v>
      </c>
      <c r="B30" s="274" t="str">
        <f>Input!B36</f>
        <v>No</v>
      </c>
      <c r="C30" s="14"/>
      <c r="D30" s="14"/>
      <c r="E30" s="14"/>
      <c r="F30" s="14"/>
      <c r="G30" s="14"/>
      <c r="H30" s="14"/>
      <c r="I30" s="14"/>
      <c r="J30" s="14"/>
      <c r="K30" s="14"/>
      <c r="L30" s="14"/>
      <c r="M30" s="14"/>
      <c r="N30" s="14"/>
      <c r="O30" s="14"/>
      <c r="P30" s="14"/>
      <c r="Q30" s="14"/>
      <c r="R30" s="14"/>
      <c r="S30" s="14"/>
      <c r="T30" s="14"/>
      <c r="U30" s="14"/>
      <c r="V30" s="14"/>
      <c r="W30" s="14"/>
      <c r="X30" s="14"/>
      <c r="Y30" s="14"/>
      <c r="Z30" s="14"/>
      <c r="AA30" s="14"/>
      <c r="AB30" s="14"/>
      <c r="AC30" s="308"/>
      <c r="AD30" s="308"/>
      <c r="AE30" s="308"/>
      <c r="AF30" s="308"/>
      <c r="AG30" s="308"/>
      <c r="AH30" s="308"/>
      <c r="AI30" s="308"/>
      <c r="AJ30" s="308"/>
    </row>
    <row r="31" spans="1:36" ht="15.75">
      <c r="A31" s="235" t="s">
        <v>105</v>
      </c>
      <c r="B31" s="274" t="str">
        <f>Input!B37</f>
        <v>No</v>
      </c>
      <c r="C31" s="14"/>
      <c r="D31" s="14"/>
      <c r="E31" s="14"/>
      <c r="F31" s="14"/>
      <c r="G31" s="14"/>
      <c r="H31" s="14"/>
      <c r="I31" s="14"/>
      <c r="J31" s="14"/>
      <c r="K31" s="14"/>
      <c r="L31" s="14"/>
      <c r="M31" s="14"/>
      <c r="N31" s="14"/>
      <c r="O31" s="14"/>
      <c r="P31" s="14"/>
      <c r="Q31" s="14"/>
      <c r="R31" s="14"/>
      <c r="S31" s="14"/>
      <c r="T31" s="14"/>
      <c r="U31" s="14"/>
      <c r="V31" s="14"/>
      <c r="W31" s="14"/>
      <c r="X31" s="14"/>
      <c r="Y31" s="14"/>
      <c r="Z31" s="14"/>
      <c r="AA31" s="14"/>
      <c r="AB31" s="14"/>
      <c r="AC31" s="308"/>
      <c r="AD31" s="308"/>
      <c r="AE31" s="308"/>
      <c r="AF31" s="308"/>
      <c r="AG31" s="308"/>
      <c r="AH31" s="308"/>
      <c r="AI31" s="308"/>
      <c r="AJ31" s="308"/>
    </row>
    <row r="32" spans="1:36" ht="15.75">
      <c r="A32" s="235" t="s">
        <v>108</v>
      </c>
      <c r="B32" s="274" t="str">
        <f>Input!B38</f>
        <v>No</v>
      </c>
      <c r="C32" s="14"/>
      <c r="D32" s="14"/>
      <c r="E32" s="14"/>
      <c r="F32" s="14"/>
      <c r="G32" s="14"/>
      <c r="H32" s="14"/>
      <c r="I32" s="14"/>
      <c r="J32" s="14"/>
      <c r="K32" s="14"/>
      <c r="L32" s="14"/>
      <c r="M32" s="14"/>
      <c r="N32" s="14"/>
      <c r="O32" s="14"/>
      <c r="P32" s="14"/>
      <c r="Q32" s="14"/>
      <c r="R32" s="14"/>
      <c r="S32" s="14"/>
      <c r="T32" s="14"/>
      <c r="U32" s="14"/>
      <c r="V32" s="14"/>
      <c r="W32" s="14"/>
      <c r="X32" s="14"/>
      <c r="Y32" s="14"/>
      <c r="Z32" s="14"/>
      <c r="AA32" s="14"/>
      <c r="AB32" s="14"/>
      <c r="AC32" s="308"/>
      <c r="AD32" s="308"/>
      <c r="AE32" s="308"/>
      <c r="AF32" s="308"/>
      <c r="AG32" s="308"/>
      <c r="AH32" s="308"/>
      <c r="AI32" s="308"/>
      <c r="AJ32" s="308"/>
    </row>
    <row r="33" spans="1:36" ht="18.75">
      <c r="A33" s="595" t="str">
        <f>Input!A39</f>
        <v/>
      </c>
      <c r="B33" s="596"/>
      <c r="C33" s="14"/>
      <c r="D33" s="14"/>
      <c r="E33" s="14"/>
      <c r="F33" s="14"/>
      <c r="G33" s="14"/>
      <c r="H33" s="14"/>
      <c r="I33" s="14"/>
      <c r="J33" s="14"/>
      <c r="K33" s="14"/>
      <c r="L33" s="14"/>
      <c r="M33" s="14"/>
      <c r="N33" s="14"/>
      <c r="O33" s="14"/>
      <c r="P33" s="14"/>
      <c r="Q33" s="14"/>
      <c r="R33" s="14"/>
      <c r="S33" s="14"/>
      <c r="T33" s="14"/>
      <c r="U33" s="14"/>
      <c r="V33" s="14"/>
      <c r="W33" s="14"/>
      <c r="X33" s="14"/>
      <c r="Y33" s="14"/>
      <c r="Z33" s="14"/>
      <c r="AA33" s="14"/>
      <c r="AB33" s="14"/>
      <c r="AC33" s="308"/>
      <c r="AD33" s="308"/>
      <c r="AE33" s="308"/>
      <c r="AF33" s="308"/>
      <c r="AG33" s="308"/>
      <c r="AH33" s="308"/>
      <c r="AI33" s="308"/>
      <c r="AJ33" s="308"/>
    </row>
    <row r="34" spans="1:36">
      <c r="A34" s="220" t="str">
        <f>Lists!S46</f>
        <v/>
      </c>
      <c r="B34" s="217" t="str">
        <f>Lists!T46</f>
        <v/>
      </c>
      <c r="C34" s="14"/>
      <c r="D34" s="9"/>
      <c r="E34" s="437" t="s">
        <v>1040</v>
      </c>
      <c r="F34" s="438"/>
      <c r="G34" s="438"/>
      <c r="H34" s="438"/>
      <c r="I34" s="438"/>
      <c r="J34" s="438"/>
      <c r="K34" s="438"/>
      <c r="L34" s="438"/>
      <c r="M34" s="438"/>
      <c r="N34" s="438"/>
      <c r="O34" s="439"/>
      <c r="P34" s="14"/>
      <c r="Q34" s="14"/>
      <c r="R34" s="14"/>
      <c r="S34" s="14"/>
      <c r="T34" s="14"/>
      <c r="U34" s="14"/>
      <c r="V34" s="14"/>
      <c r="W34" s="14"/>
      <c r="X34" s="14"/>
      <c r="Y34" s="14"/>
      <c r="Z34" s="14"/>
      <c r="AA34" s="14"/>
      <c r="AB34" s="14"/>
      <c r="AC34" s="308"/>
      <c r="AD34" s="308"/>
      <c r="AE34" s="308"/>
      <c r="AF34" s="308"/>
      <c r="AG34" s="308"/>
      <c r="AH34" s="308"/>
      <c r="AI34" s="308"/>
      <c r="AJ34" s="308"/>
    </row>
    <row r="35" spans="1:36">
      <c r="A35" s="220" t="str">
        <f>Lists!S47</f>
        <v/>
      </c>
      <c r="B35" s="217" t="str">
        <f>Lists!T47</f>
        <v/>
      </c>
      <c r="C35" s="14"/>
      <c r="D35" s="14"/>
      <c r="E35" s="14"/>
      <c r="F35" s="14"/>
      <c r="G35" s="14"/>
      <c r="H35" s="14"/>
      <c r="I35" s="14"/>
      <c r="J35" s="14"/>
      <c r="K35" s="14"/>
      <c r="L35" s="14"/>
      <c r="M35" s="14"/>
      <c r="N35" s="14"/>
      <c r="O35" s="14"/>
      <c r="P35" s="14"/>
      <c r="Q35" s="14"/>
      <c r="R35" s="14"/>
      <c r="S35" s="14"/>
      <c r="T35" s="14"/>
      <c r="U35" s="14"/>
      <c r="V35" s="14"/>
      <c r="W35" s="14"/>
      <c r="X35" s="14"/>
      <c r="Y35" s="14"/>
      <c r="Z35" s="14"/>
      <c r="AA35" s="14"/>
      <c r="AB35" s="14"/>
      <c r="AC35" s="308"/>
      <c r="AD35" s="308"/>
      <c r="AE35" s="308"/>
      <c r="AF35" s="308"/>
      <c r="AG35" s="308"/>
      <c r="AH35" s="308"/>
      <c r="AI35" s="308"/>
      <c r="AJ35" s="308"/>
    </row>
    <row r="36" spans="1:36">
      <c r="A36" s="220" t="str">
        <f>Lists!S48</f>
        <v/>
      </c>
      <c r="B36" s="217" t="str">
        <f>Lists!T48</f>
        <v/>
      </c>
      <c r="C36" s="14"/>
      <c r="D36" s="14"/>
      <c r="E36" s="14"/>
      <c r="F36" s="14"/>
      <c r="G36" s="14"/>
      <c r="H36" s="14"/>
      <c r="I36" s="14"/>
      <c r="J36" s="14"/>
      <c r="K36" s="14"/>
      <c r="L36" s="14"/>
      <c r="M36" s="14"/>
      <c r="N36" s="14"/>
      <c r="O36" s="14"/>
      <c r="P36" s="14"/>
      <c r="Q36" s="14"/>
      <c r="R36" s="14"/>
      <c r="S36" s="14"/>
      <c r="T36" s="14"/>
      <c r="U36" s="14"/>
      <c r="V36" s="14"/>
      <c r="W36" s="14"/>
      <c r="X36" s="14"/>
      <c r="Y36" s="14"/>
      <c r="Z36" s="14"/>
      <c r="AA36" s="14"/>
      <c r="AB36" s="14"/>
      <c r="AC36" s="308"/>
      <c r="AD36" s="308"/>
      <c r="AE36" s="308"/>
      <c r="AF36" s="308"/>
      <c r="AG36" s="308"/>
      <c r="AH36" s="308"/>
      <c r="AI36" s="308"/>
      <c r="AJ36" s="308"/>
    </row>
    <row r="37" spans="1:36">
      <c r="A37" s="220" t="str">
        <f>Lists!S49</f>
        <v/>
      </c>
      <c r="B37" s="217" t="str">
        <f>Lists!T49</f>
        <v/>
      </c>
      <c r="C37" s="14"/>
      <c r="D37" s="14"/>
      <c r="E37" s="14"/>
      <c r="F37" s="14"/>
      <c r="G37" s="14"/>
      <c r="H37" s="14"/>
      <c r="I37" s="14"/>
      <c r="J37" s="14"/>
      <c r="K37" s="14"/>
      <c r="L37" s="14"/>
      <c r="M37" s="14"/>
      <c r="N37" s="14"/>
      <c r="O37" s="14"/>
      <c r="P37" s="14"/>
      <c r="Q37" s="14"/>
      <c r="R37" s="14"/>
      <c r="S37" s="14"/>
      <c r="T37" s="14"/>
      <c r="U37" s="14"/>
      <c r="V37" s="14"/>
      <c r="W37" s="14"/>
      <c r="X37" s="14"/>
      <c r="Y37" s="14"/>
      <c r="Z37" s="14"/>
      <c r="AA37" s="14"/>
      <c r="AB37" s="14"/>
      <c r="AC37" s="308"/>
      <c r="AD37" s="308"/>
      <c r="AE37" s="308"/>
      <c r="AF37" s="308"/>
      <c r="AG37" s="308"/>
      <c r="AH37" s="308"/>
      <c r="AI37" s="308"/>
      <c r="AJ37" s="308"/>
    </row>
    <row r="38" spans="1:36">
      <c r="A38" s="220" t="str">
        <f>Lists!S50</f>
        <v/>
      </c>
      <c r="B38" s="217" t="str">
        <f>Lists!T50</f>
        <v/>
      </c>
      <c r="C38" s="14"/>
      <c r="D38" s="14"/>
      <c r="E38" s="14"/>
      <c r="F38" s="14"/>
      <c r="G38" s="14"/>
      <c r="H38" s="14"/>
      <c r="I38" s="14"/>
      <c r="J38" s="14"/>
      <c r="K38" s="14"/>
      <c r="L38" s="14"/>
      <c r="M38" s="14"/>
      <c r="N38" s="14"/>
      <c r="O38" s="14"/>
      <c r="P38" s="14"/>
      <c r="Q38" s="14"/>
      <c r="R38" s="14"/>
      <c r="S38" s="14"/>
      <c r="T38" s="14"/>
      <c r="U38" s="14"/>
      <c r="V38" s="14"/>
      <c r="W38" s="14"/>
      <c r="X38" s="14"/>
      <c r="Y38" s="14"/>
      <c r="Z38" s="14"/>
      <c r="AA38" s="14"/>
      <c r="AB38" s="14"/>
      <c r="AC38" s="308"/>
      <c r="AD38" s="308"/>
      <c r="AE38" s="308"/>
      <c r="AF38" s="308"/>
      <c r="AG38" s="308"/>
      <c r="AH38" s="308"/>
      <c r="AI38" s="308"/>
      <c r="AJ38" s="308"/>
    </row>
    <row r="39" spans="1:36">
      <c r="A39" s="220" t="str">
        <f>Lists!S51</f>
        <v/>
      </c>
      <c r="B39" s="217" t="str">
        <f>Lists!T51</f>
        <v/>
      </c>
      <c r="C39" s="14"/>
      <c r="D39" s="14"/>
      <c r="E39" s="14"/>
      <c r="F39" s="14"/>
      <c r="G39" s="14"/>
      <c r="H39" s="14"/>
      <c r="I39" s="14"/>
      <c r="J39" s="14"/>
      <c r="K39" s="14"/>
      <c r="L39" s="14"/>
      <c r="M39" s="14"/>
      <c r="N39" s="14"/>
      <c r="O39" s="14"/>
      <c r="P39" s="14"/>
      <c r="Q39" s="14"/>
      <c r="R39" s="14"/>
      <c r="S39" s="14"/>
      <c r="T39" s="14"/>
      <c r="U39" s="14"/>
      <c r="V39" s="14"/>
      <c r="W39" s="14"/>
      <c r="X39" s="14"/>
      <c r="Y39" s="14"/>
      <c r="Z39" s="14"/>
      <c r="AA39" s="14"/>
      <c r="AB39" s="14"/>
      <c r="AC39" s="308"/>
      <c r="AD39" s="308"/>
      <c r="AE39" s="308"/>
      <c r="AF39" s="308"/>
      <c r="AG39" s="308"/>
      <c r="AH39" s="308"/>
      <c r="AI39" s="308"/>
      <c r="AJ39" s="308"/>
    </row>
    <row r="40" spans="1:36">
      <c r="A40" s="220" t="str">
        <f>Lists!S52</f>
        <v/>
      </c>
      <c r="B40" s="217" t="str">
        <f>Lists!T52</f>
        <v/>
      </c>
      <c r="C40" s="14"/>
      <c r="D40" s="14"/>
      <c r="E40" s="14"/>
      <c r="F40" s="14"/>
      <c r="G40" s="14"/>
      <c r="H40" s="14"/>
      <c r="I40" s="14"/>
      <c r="J40" s="14"/>
      <c r="K40" s="14"/>
      <c r="L40" s="14"/>
      <c r="M40" s="14"/>
      <c r="N40" s="14"/>
      <c r="O40" s="14"/>
      <c r="P40" s="14"/>
      <c r="Q40" s="14"/>
      <c r="R40" s="14"/>
      <c r="S40" s="14"/>
      <c r="T40" s="14"/>
      <c r="U40" s="14"/>
      <c r="V40" s="14"/>
      <c r="W40" s="14"/>
      <c r="X40" s="14"/>
      <c r="Y40" s="14"/>
      <c r="Z40" s="14"/>
      <c r="AA40" s="14"/>
      <c r="AB40" s="14"/>
      <c r="AC40" s="308"/>
      <c r="AD40" s="308"/>
      <c r="AE40" s="308"/>
      <c r="AF40" s="308"/>
      <c r="AG40" s="308"/>
      <c r="AH40" s="308"/>
      <c r="AI40" s="308"/>
      <c r="AJ40" s="308"/>
    </row>
    <row r="41" spans="1:36">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308"/>
      <c r="AD41" s="308"/>
      <c r="AE41" s="308"/>
      <c r="AF41" s="308"/>
      <c r="AG41" s="308"/>
      <c r="AH41" s="308"/>
      <c r="AI41" s="308"/>
      <c r="AJ41" s="308"/>
    </row>
    <row r="42" spans="1:36">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c r="AA42" s="14"/>
      <c r="AB42" s="14"/>
      <c r="AC42" s="308"/>
      <c r="AD42" s="308"/>
      <c r="AE42" s="308"/>
      <c r="AF42" s="308"/>
      <c r="AG42" s="308"/>
      <c r="AH42" s="308"/>
      <c r="AI42" s="308"/>
      <c r="AJ42" s="308"/>
    </row>
    <row r="43" spans="1:36">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c r="AA43" s="14"/>
      <c r="AB43" s="14"/>
      <c r="AC43" s="308"/>
      <c r="AD43" s="308"/>
      <c r="AE43" s="308"/>
      <c r="AF43" s="308"/>
      <c r="AG43" s="308"/>
      <c r="AH43" s="308"/>
      <c r="AI43" s="308"/>
      <c r="AJ43" s="308"/>
    </row>
    <row r="44" spans="1:36">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c r="AA44" s="14"/>
      <c r="AB44" s="14"/>
      <c r="AC44" s="308"/>
      <c r="AD44" s="308"/>
      <c r="AE44" s="308"/>
      <c r="AF44" s="308"/>
      <c r="AG44" s="308"/>
      <c r="AH44" s="308"/>
      <c r="AI44" s="308"/>
      <c r="AJ44" s="308"/>
    </row>
    <row r="45" spans="1:36">
      <c r="A45" s="308"/>
      <c r="B45" s="308"/>
      <c r="C45" s="308"/>
      <c r="D45" s="308"/>
      <c r="E45" s="308"/>
      <c r="F45" s="308"/>
      <c r="G45" s="308"/>
      <c r="H45" s="308"/>
      <c r="I45" s="308"/>
      <c r="J45" s="308"/>
      <c r="K45" s="308"/>
      <c r="L45" s="308"/>
      <c r="M45" s="308"/>
      <c r="N45" s="308"/>
      <c r="O45" s="308"/>
      <c r="P45" s="308"/>
      <c r="Q45" s="308"/>
      <c r="R45" s="308"/>
      <c r="S45" s="308"/>
      <c r="T45" s="308"/>
      <c r="U45" s="308"/>
      <c r="V45" s="308"/>
      <c r="W45" s="308"/>
      <c r="X45" s="308"/>
      <c r="Y45" s="308"/>
      <c r="Z45" s="308"/>
      <c r="AA45" s="308"/>
      <c r="AB45" s="308"/>
      <c r="AC45" s="308"/>
      <c r="AD45" s="308"/>
      <c r="AE45" s="308"/>
      <c r="AF45" s="308"/>
      <c r="AG45" s="308"/>
      <c r="AH45" s="308"/>
      <c r="AI45" s="308"/>
      <c r="AJ45" s="308"/>
    </row>
    <row r="46" spans="1:36">
      <c r="A46" s="308"/>
      <c r="B46" s="308"/>
      <c r="C46" s="308"/>
      <c r="D46" s="308"/>
      <c r="E46" s="308"/>
      <c r="F46" s="308"/>
      <c r="G46" s="308"/>
      <c r="H46" s="308"/>
      <c r="I46" s="308"/>
      <c r="J46" s="308"/>
      <c r="K46" s="308"/>
      <c r="L46" s="308"/>
      <c r="M46" s="308"/>
      <c r="N46" s="308"/>
      <c r="O46" s="308"/>
      <c r="P46" s="308"/>
      <c r="Q46" s="308"/>
      <c r="R46" s="308"/>
      <c r="S46" s="308"/>
      <c r="T46" s="308"/>
      <c r="U46" s="308"/>
      <c r="V46" s="308"/>
      <c r="W46" s="308"/>
      <c r="X46" s="308"/>
      <c r="Y46" s="308"/>
      <c r="Z46" s="308"/>
      <c r="AA46" s="308"/>
      <c r="AB46" s="308"/>
      <c r="AC46" s="308"/>
      <c r="AD46" s="308"/>
      <c r="AE46" s="308"/>
      <c r="AF46" s="308"/>
      <c r="AG46" s="308"/>
      <c r="AH46" s="308"/>
      <c r="AI46" s="308"/>
      <c r="AJ46" s="308"/>
    </row>
    <row r="47" spans="1:36">
      <c r="A47" s="308"/>
      <c r="B47" s="308"/>
      <c r="C47" s="308"/>
      <c r="D47" s="308"/>
      <c r="E47" s="308"/>
      <c r="F47" s="308"/>
      <c r="G47" s="308"/>
      <c r="H47" s="308"/>
      <c r="I47" s="308"/>
      <c r="J47" s="308"/>
      <c r="K47" s="308"/>
      <c r="L47" s="308"/>
      <c r="M47" s="308"/>
      <c r="N47" s="308"/>
      <c r="O47" s="308"/>
      <c r="P47" s="308"/>
      <c r="Q47" s="308"/>
      <c r="R47" s="308"/>
      <c r="S47" s="308"/>
      <c r="T47" s="308"/>
      <c r="U47" s="308"/>
      <c r="V47" s="308"/>
      <c r="W47" s="308"/>
      <c r="X47" s="308"/>
      <c r="Y47" s="308"/>
      <c r="Z47" s="308"/>
      <c r="AA47" s="308"/>
      <c r="AB47" s="308"/>
      <c r="AC47" s="308"/>
      <c r="AD47" s="308"/>
      <c r="AE47" s="308"/>
      <c r="AF47" s="308"/>
      <c r="AG47" s="308"/>
      <c r="AH47" s="308"/>
      <c r="AI47" s="308"/>
      <c r="AJ47" s="308"/>
    </row>
    <row r="48" spans="1:36">
      <c r="A48" s="308"/>
      <c r="B48" s="308"/>
      <c r="C48" s="308"/>
      <c r="D48" s="308"/>
      <c r="E48" s="308"/>
      <c r="F48" s="308"/>
      <c r="G48" s="308"/>
      <c r="H48" s="308"/>
      <c r="I48" s="308"/>
      <c r="J48" s="308"/>
      <c r="K48" s="308"/>
      <c r="L48" s="308"/>
      <c r="M48" s="308"/>
      <c r="N48" s="308"/>
      <c r="O48" s="308"/>
      <c r="P48" s="308"/>
      <c r="Q48" s="308"/>
      <c r="R48" s="308"/>
      <c r="S48" s="308"/>
      <c r="T48" s="308"/>
      <c r="U48" s="308"/>
      <c r="V48" s="308"/>
      <c r="W48" s="308"/>
      <c r="X48" s="308"/>
      <c r="Y48" s="308"/>
      <c r="Z48" s="308"/>
      <c r="AA48" s="308"/>
      <c r="AB48" s="308"/>
      <c r="AC48" s="308"/>
      <c r="AD48" s="308"/>
      <c r="AE48" s="308"/>
      <c r="AF48" s="308"/>
      <c r="AG48" s="308"/>
      <c r="AH48" s="308"/>
      <c r="AI48" s="308"/>
      <c r="AJ48" s="308"/>
    </row>
    <row r="49" spans="1:36">
      <c r="A49" s="308"/>
      <c r="B49" s="308"/>
      <c r="C49" s="308"/>
      <c r="D49" s="308"/>
      <c r="E49" s="308"/>
      <c r="F49" s="308"/>
      <c r="G49" s="308"/>
      <c r="H49" s="308"/>
      <c r="I49" s="308"/>
      <c r="J49" s="308"/>
      <c r="K49" s="308"/>
      <c r="L49" s="308"/>
      <c r="M49" s="308"/>
      <c r="N49" s="308"/>
      <c r="O49" s="308"/>
      <c r="P49" s="308"/>
      <c r="Q49" s="308"/>
      <c r="R49" s="308"/>
      <c r="S49" s="308"/>
      <c r="T49" s="308"/>
      <c r="U49" s="308"/>
      <c r="V49" s="308"/>
      <c r="W49" s="308"/>
      <c r="X49" s="308"/>
      <c r="Y49" s="308"/>
      <c r="Z49" s="308"/>
      <c r="AA49" s="308"/>
      <c r="AB49" s="308"/>
      <c r="AC49" s="308"/>
      <c r="AD49" s="308"/>
      <c r="AE49" s="308"/>
      <c r="AF49" s="308"/>
      <c r="AG49" s="308"/>
      <c r="AH49" s="308"/>
      <c r="AI49" s="308"/>
      <c r="AJ49" s="308"/>
    </row>
    <row r="50" spans="1:36">
      <c r="A50" s="308"/>
      <c r="B50" s="308"/>
      <c r="C50" s="308"/>
      <c r="D50" s="308"/>
      <c r="E50" s="308"/>
      <c r="F50" s="308"/>
      <c r="G50" s="308"/>
      <c r="H50" s="308"/>
      <c r="I50" s="308"/>
      <c r="J50" s="308"/>
      <c r="K50" s="308"/>
      <c r="L50" s="308"/>
      <c r="M50" s="308"/>
      <c r="N50" s="308"/>
      <c r="O50" s="308"/>
      <c r="P50" s="308"/>
      <c r="Q50" s="308"/>
      <c r="R50" s="308"/>
      <c r="S50" s="308"/>
      <c r="T50" s="308"/>
      <c r="U50" s="308"/>
      <c r="V50" s="308"/>
      <c r="W50" s="308"/>
      <c r="X50" s="308"/>
      <c r="Y50" s="308"/>
      <c r="Z50" s="308"/>
      <c r="AA50" s="308"/>
      <c r="AB50" s="308"/>
      <c r="AC50" s="308"/>
      <c r="AD50" s="308"/>
      <c r="AE50" s="308"/>
      <c r="AF50" s="308"/>
      <c r="AG50" s="308"/>
      <c r="AH50" s="308"/>
      <c r="AI50" s="308"/>
      <c r="AJ50" s="308"/>
    </row>
    <row r="51" spans="1:36">
      <c r="A51" s="308"/>
      <c r="B51" s="308"/>
      <c r="C51" s="308"/>
      <c r="D51" s="308"/>
      <c r="E51" s="308"/>
      <c r="F51" s="308"/>
      <c r="G51" s="308"/>
      <c r="H51" s="308"/>
      <c r="I51" s="308"/>
      <c r="J51" s="308"/>
      <c r="K51" s="308"/>
      <c r="L51" s="308"/>
      <c r="M51" s="308"/>
      <c r="N51" s="308"/>
      <c r="O51" s="308"/>
      <c r="P51" s="308"/>
      <c r="Q51" s="308"/>
      <c r="R51" s="308"/>
      <c r="S51" s="308"/>
      <c r="T51" s="308"/>
      <c r="U51" s="308"/>
      <c r="V51" s="308"/>
      <c r="W51" s="308"/>
      <c r="X51" s="308"/>
      <c r="Y51" s="308"/>
      <c r="Z51" s="308"/>
      <c r="AA51" s="308"/>
      <c r="AB51" s="308"/>
      <c r="AC51" s="308"/>
      <c r="AD51" s="308"/>
      <c r="AE51" s="308"/>
      <c r="AF51" s="308"/>
      <c r="AG51" s="308"/>
      <c r="AH51" s="308"/>
      <c r="AI51" s="308"/>
      <c r="AJ51" s="308"/>
    </row>
    <row r="52" spans="1:36">
      <c r="A52" s="308"/>
      <c r="B52" s="308"/>
      <c r="C52" s="308"/>
      <c r="D52" s="308"/>
      <c r="E52" s="308"/>
      <c r="F52" s="308"/>
      <c r="G52" s="308"/>
      <c r="H52" s="308"/>
      <c r="I52" s="308"/>
      <c r="J52" s="308"/>
      <c r="K52" s="308"/>
      <c r="L52" s="308"/>
      <c r="M52" s="308"/>
      <c r="N52" s="308"/>
      <c r="O52" s="308"/>
      <c r="P52" s="308"/>
      <c r="Q52" s="308"/>
      <c r="R52" s="308"/>
      <c r="S52" s="308"/>
      <c r="T52" s="308"/>
      <c r="U52" s="308"/>
      <c r="V52" s="308"/>
      <c r="W52" s="308"/>
      <c r="X52" s="308"/>
      <c r="Y52" s="308"/>
      <c r="Z52" s="308"/>
      <c r="AA52" s="308"/>
      <c r="AB52" s="308"/>
      <c r="AC52" s="308"/>
      <c r="AD52" s="308"/>
      <c r="AE52" s="308"/>
      <c r="AF52" s="308"/>
      <c r="AG52" s="308"/>
      <c r="AH52" s="308"/>
      <c r="AI52" s="308"/>
      <c r="AJ52" s="308"/>
    </row>
    <row r="53" spans="1:36">
      <c r="A53" s="308"/>
      <c r="B53" s="308"/>
      <c r="C53" s="308"/>
      <c r="D53" s="308"/>
      <c r="E53" s="308"/>
      <c r="F53" s="308"/>
      <c r="G53" s="308"/>
      <c r="H53" s="308"/>
      <c r="I53" s="308"/>
      <c r="J53" s="308"/>
      <c r="K53" s="308"/>
      <c r="L53" s="308"/>
      <c r="M53" s="308"/>
      <c r="N53" s="308"/>
      <c r="O53" s="308"/>
      <c r="P53" s="308"/>
      <c r="Q53" s="308"/>
      <c r="R53" s="308"/>
      <c r="S53" s="308"/>
      <c r="T53" s="308"/>
      <c r="U53" s="308"/>
      <c r="V53" s="308"/>
      <c r="W53" s="308"/>
      <c r="X53" s="308"/>
      <c r="Y53" s="308"/>
      <c r="Z53" s="308"/>
      <c r="AA53" s="308"/>
      <c r="AB53" s="308"/>
      <c r="AC53" s="308"/>
      <c r="AD53" s="308"/>
      <c r="AE53" s="308"/>
      <c r="AF53" s="308"/>
      <c r="AG53" s="308"/>
      <c r="AH53" s="308"/>
      <c r="AI53" s="308"/>
      <c r="AJ53" s="308"/>
    </row>
    <row r="54" spans="1:36">
      <c r="A54" s="308"/>
      <c r="B54" s="308"/>
      <c r="C54" s="308"/>
      <c r="D54" s="308"/>
      <c r="E54" s="308"/>
      <c r="F54" s="308"/>
      <c r="G54" s="308"/>
      <c r="H54" s="308"/>
      <c r="I54" s="308"/>
      <c r="J54" s="308"/>
      <c r="K54" s="308"/>
      <c r="L54" s="308"/>
      <c r="M54" s="308"/>
      <c r="N54" s="308"/>
      <c r="O54" s="308"/>
      <c r="P54" s="308"/>
      <c r="Q54" s="308"/>
      <c r="R54" s="308"/>
      <c r="S54" s="308"/>
      <c r="T54" s="308"/>
      <c r="U54" s="308"/>
      <c r="V54" s="308"/>
      <c r="W54" s="308"/>
      <c r="X54" s="308"/>
      <c r="Y54" s="308"/>
      <c r="Z54" s="308"/>
      <c r="AA54" s="308"/>
      <c r="AB54" s="308"/>
      <c r="AC54" s="308"/>
      <c r="AD54" s="308"/>
      <c r="AE54" s="308"/>
      <c r="AF54" s="308"/>
      <c r="AG54" s="308"/>
      <c r="AH54" s="308"/>
      <c r="AI54" s="308"/>
      <c r="AJ54" s="308"/>
    </row>
    <row r="55" spans="1:36">
      <c r="A55" s="308"/>
      <c r="B55" s="308"/>
      <c r="C55" s="308"/>
      <c r="D55" s="308"/>
      <c r="E55" s="308"/>
      <c r="F55" s="308"/>
      <c r="G55" s="308"/>
      <c r="H55" s="308"/>
      <c r="I55" s="308"/>
      <c r="J55" s="308"/>
      <c r="K55" s="308"/>
      <c r="L55" s="308"/>
      <c r="M55" s="308"/>
      <c r="N55" s="308"/>
      <c r="O55" s="308"/>
      <c r="P55" s="308"/>
      <c r="Q55" s="308"/>
      <c r="R55" s="308"/>
      <c r="S55" s="308"/>
      <c r="T55" s="308"/>
      <c r="U55" s="308"/>
      <c r="V55" s="308"/>
      <c r="W55" s="308"/>
      <c r="X55" s="308"/>
      <c r="Y55" s="308"/>
      <c r="Z55" s="308"/>
      <c r="AA55" s="308"/>
      <c r="AB55" s="308"/>
      <c r="AC55" s="308"/>
      <c r="AD55" s="308"/>
      <c r="AE55" s="308"/>
      <c r="AF55" s="308"/>
      <c r="AG55" s="308"/>
      <c r="AH55" s="308"/>
      <c r="AI55" s="308"/>
      <c r="AJ55" s="308"/>
    </row>
  </sheetData>
  <sheetProtection algorithmName="SHA-512" hashValue="wXNhkvRX95Rf7lBuwW30GUhHvVdB7+KoMwEVsoo+mBz4VIwlZh+4VB7xICbqVIFU4cdQQqCpiKA8YgYgd3H/pQ==" saltValue="ZSoIVbn+3Dt9B/mD4RyyVg==" spinCount="100000" sheet="1" objects="1" scenarios="1"/>
  <mergeCells count="6">
    <mergeCell ref="A33:B33"/>
    <mergeCell ref="F19:N20"/>
    <mergeCell ref="A7:B7"/>
    <mergeCell ref="A13:B13"/>
    <mergeCell ref="A18:B18"/>
    <mergeCell ref="A29:B29"/>
  </mergeCells>
  <conditionalFormatting sqref="A34:B39">
    <cfRule type="expression" dxfId="25" priority="115">
      <formula>$B34=""</formula>
    </cfRule>
  </conditionalFormatting>
  <conditionalFormatting sqref="A40:B40">
    <cfRule type="expression" dxfId="23" priority="117">
      <formula>$B40=""</formula>
    </cfRule>
  </conditionalFormatting>
  <hyperlinks>
    <hyperlink ref="C1" location="Guide" display="Guide" xr:uid="{00000000-0004-0000-0C00-000000000000}"/>
    <hyperlink ref="C2" location="Input" display="Input" xr:uid="{00000000-0004-0000-0C00-000001000000}"/>
  </hyperlinks>
  <pageMargins left="0.7" right="0.7" top="0.75" bottom="0.75" header="0.3" footer="0.3"/>
  <pageSetup paperSize="9" scale="64" orientation="landscape" horizontalDpi="300" r:id="rId1"/>
  <headerFooter>
    <oddFooter>&amp;LNova Scotia Exploration Economics Model&amp;Rwww.indeva.com</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79" id="{6A0E6571-9AE0-4B56-AC38-DC99B1AB8635}">
            <xm:f>Input!$A$39=""</xm:f>
            <x14:dxf>
              <fill>
                <patternFill>
                  <bgColor theme="2"/>
                </patternFill>
              </fill>
              <border>
                <left/>
                <right/>
                <top style="thin">
                  <color auto="1"/>
                </top>
                <bottom/>
                <vertical/>
                <horizontal/>
              </border>
            </x14:dxf>
          </x14:cfRule>
          <xm:sqref>A33:B33</xm:sqref>
        </x14:conditionalFormatting>
        <x14:conditionalFormatting xmlns:xm="http://schemas.microsoft.com/office/excel/2006/main">
          <x14:cfRule type="expression" priority="114" id="{47494319-7C16-40E9-B180-FEBB5A240213}">
            <xm:f>Lists!$N46=Lists!P$54</xm:f>
            <x14:dxf>
              <fill>
                <patternFill>
                  <bgColor theme="2"/>
                </patternFill>
              </fill>
              <border>
                <left style="thin">
                  <color auto="1"/>
                </left>
                <right style="thin">
                  <color auto="1"/>
                </right>
                <top style="thin">
                  <color auto="1"/>
                </top>
                <bottom style="thin">
                  <color auto="1"/>
                </bottom>
                <vertical/>
                <horizontal/>
              </border>
            </x14:dxf>
          </x14:cfRule>
          <xm:sqref>A34:B39</xm:sqref>
        </x14:conditionalFormatting>
        <x14:conditionalFormatting xmlns:xm="http://schemas.microsoft.com/office/excel/2006/main">
          <x14:cfRule type="expression" priority="116" id="{47494319-7C16-40E9-B180-FEBB5A240213}">
            <xm:f>Lists!$N53=Lists!P$54</xm:f>
            <x14:dxf>
              <fill>
                <patternFill>
                  <bgColor theme="2"/>
                </patternFill>
              </fill>
              <border>
                <left style="thin">
                  <color auto="1"/>
                </left>
                <right style="thin">
                  <color auto="1"/>
                </right>
                <top style="thin">
                  <color auto="1"/>
                </top>
                <bottom style="thin">
                  <color auto="1"/>
                </bottom>
                <vertical/>
                <horizontal/>
              </border>
            </x14:dxf>
          </x14:cfRule>
          <xm:sqref>A40:B40</xm:sqref>
        </x14:conditionalFormatting>
        <x14:conditionalFormatting xmlns:xm="http://schemas.microsoft.com/office/excel/2006/main">
          <x14:cfRule type="expression" priority="118" id="{016012C6-C868-4207-B873-9822D02B39B4}">
            <xm:f>Lists!$N46=Lists!P$54</xm:f>
            <x14:dxf>
              <fill>
                <patternFill>
                  <bgColor theme="2"/>
                </patternFill>
              </fill>
              <border>
                <left style="thin">
                  <color auto="1"/>
                </left>
                <right style="thin">
                  <color auto="1"/>
                </right>
                <top style="thin">
                  <color auto="1"/>
                </top>
                <bottom style="thin">
                  <color auto="1"/>
                </bottom>
                <vertical/>
                <horizontal/>
              </border>
            </x14:dxf>
          </x14:cfRule>
          <xm:sqref>B34:B39</xm:sqref>
        </x14:conditionalFormatting>
        <x14:conditionalFormatting xmlns:xm="http://schemas.microsoft.com/office/excel/2006/main">
          <x14:cfRule type="expression" priority="119" id="{016012C6-C868-4207-B873-9822D02B39B4}">
            <xm:f>Lists!$N53=Lists!P$54</xm:f>
            <x14:dxf>
              <fill>
                <patternFill>
                  <bgColor theme="2"/>
                </patternFill>
              </fill>
              <border>
                <left style="thin">
                  <color auto="1"/>
                </left>
                <right style="thin">
                  <color auto="1"/>
                </right>
                <top style="thin">
                  <color auto="1"/>
                </top>
                <bottom style="thin">
                  <color auto="1"/>
                </bottom>
                <vertical/>
                <horizontal/>
              </border>
            </x14:dxf>
          </x14:cfRule>
          <xm:sqref>B40</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3">
    <tabColor rgb="FFFF0000"/>
    <pageSetUpPr fitToPage="1"/>
  </sheetPr>
  <dimension ref="A1:AI89"/>
  <sheetViews>
    <sheetView showGridLines="0" showRowColHeaders="0" zoomScale="110" zoomScaleNormal="110" workbookViewId="0">
      <selection activeCell="N30" sqref="N30"/>
    </sheetView>
  </sheetViews>
  <sheetFormatPr defaultRowHeight="15"/>
  <sheetData>
    <row r="1" spans="1:35" ht="15" customHeight="1">
      <c r="A1" s="93" t="s">
        <v>756</v>
      </c>
      <c r="B1" s="64"/>
      <c r="C1" s="64"/>
      <c r="D1" s="64"/>
      <c r="E1" s="64"/>
      <c r="F1" s="64"/>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row>
    <row r="2" spans="1:35" ht="15" customHeight="1">
      <c r="A2" s="93" t="s">
        <v>139</v>
      </c>
      <c r="B2" s="64"/>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row>
    <row r="3" spans="1:35">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row>
    <row r="4" spans="1:35">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row>
    <row r="5" spans="1:35">
      <c r="A5" s="64"/>
      <c r="B5" s="64"/>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row>
    <row r="6" spans="1:35">
      <c r="A6" s="64"/>
      <c r="B6" s="64"/>
      <c r="C6" s="64"/>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row>
    <row r="7" spans="1:35">
      <c r="A7" s="64"/>
      <c r="B7" s="64"/>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row>
    <row r="8" spans="1:35">
      <c r="A8" s="64"/>
      <c r="B8" s="64"/>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row>
    <row r="9" spans="1:35">
      <c r="A9" s="64"/>
      <c r="B9" s="64"/>
      <c r="C9" s="64"/>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row>
    <row r="10" spans="1:35">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row>
    <row r="11" spans="1:35">
      <c r="A11" s="64"/>
      <c r="B11" s="64"/>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row>
    <row r="12" spans="1:35">
      <c r="A12" s="64"/>
      <c r="B12" s="64"/>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row>
    <row r="13" spans="1:35">
      <c r="A13" s="64"/>
      <c r="B13" s="64"/>
      <c r="C13" s="64"/>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row>
    <row r="14" spans="1:35">
      <c r="A14" s="64"/>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row>
    <row r="15" spans="1:35">
      <c r="A15" s="64"/>
      <c r="B15" s="64"/>
      <c r="C15" s="64"/>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row>
    <row r="16" spans="1:35">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row>
    <row r="17" spans="1:35">
      <c r="A17" s="64"/>
      <c r="B17" s="64"/>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row>
    <row r="18" spans="1:35">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row>
    <row r="19" spans="1:35">
      <c r="A19" s="64"/>
      <c r="B19" s="64"/>
      <c r="C19" s="64"/>
      <c r="D19" s="64"/>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row>
    <row r="20" spans="1:35">
      <c r="A20" s="64"/>
      <c r="B20" s="64"/>
      <c r="C20" s="64"/>
      <c r="D20" s="64"/>
      <c r="E20" s="64"/>
      <c r="F20" s="64"/>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row>
    <row r="21" spans="1:35">
      <c r="A21" s="64"/>
      <c r="B21" s="64"/>
      <c r="C21" s="64"/>
      <c r="D21" s="64"/>
      <c r="E21" s="64"/>
      <c r="F21" s="64"/>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row>
    <row r="22" spans="1:35">
      <c r="A22" s="64"/>
      <c r="B22" s="64"/>
      <c r="C22" s="64"/>
      <c r="D22" s="64"/>
      <c r="E22" s="64"/>
      <c r="F22" s="64"/>
      <c r="G22" s="64"/>
      <c r="H22" s="64"/>
      <c r="I22" s="64"/>
      <c r="J22" s="64"/>
      <c r="K22" s="64"/>
      <c r="L22" s="64"/>
      <c r="M22" s="64"/>
      <c r="N22" s="64"/>
      <c r="O22" s="64"/>
      <c r="P22" s="64"/>
      <c r="Q22" s="64"/>
      <c r="R22" s="64"/>
      <c r="S22" s="64"/>
      <c r="T22" s="64"/>
      <c r="U22" s="64"/>
      <c r="V22" s="64"/>
      <c r="W22" s="64"/>
      <c r="X22" s="64"/>
      <c r="Y22" s="64"/>
      <c r="Z22" s="64"/>
      <c r="AA22" s="64"/>
      <c r="AB22" s="64"/>
      <c r="AC22" s="64"/>
      <c r="AD22" s="64"/>
      <c r="AE22" s="64"/>
      <c r="AF22" s="64"/>
      <c r="AG22" s="64"/>
      <c r="AH22" s="64"/>
      <c r="AI22" s="64"/>
    </row>
    <row r="23" spans="1:35">
      <c r="A23" s="64"/>
      <c r="B23" s="64"/>
      <c r="C23" s="64"/>
      <c r="D23" s="64"/>
      <c r="E23" s="64"/>
      <c r="F23" s="64"/>
      <c r="G23" s="64"/>
      <c r="H23" s="64"/>
      <c r="I23" s="64"/>
      <c r="J23" s="64"/>
      <c r="K23" s="64"/>
      <c r="L23" s="64"/>
      <c r="M23" s="64"/>
      <c r="N23" s="64"/>
      <c r="O23" s="64"/>
      <c r="P23" s="64"/>
      <c r="Q23" s="64"/>
      <c r="R23" s="64"/>
      <c r="S23" s="64"/>
      <c r="T23" s="64"/>
      <c r="U23" s="64"/>
      <c r="V23" s="64"/>
      <c r="W23" s="64"/>
      <c r="X23" s="64"/>
      <c r="Y23" s="64"/>
      <c r="Z23" s="64"/>
      <c r="AA23" s="64"/>
      <c r="AB23" s="64"/>
      <c r="AC23" s="64"/>
      <c r="AD23" s="64"/>
      <c r="AE23" s="64"/>
      <c r="AF23" s="64"/>
      <c r="AG23" s="64"/>
      <c r="AH23" s="64"/>
      <c r="AI23" s="64"/>
    </row>
    <row r="24" spans="1:35">
      <c r="A24" s="64"/>
      <c r="B24" s="64"/>
      <c r="C24" s="64"/>
      <c r="D24" s="64"/>
      <c r="E24" s="64"/>
      <c r="F24" s="64"/>
      <c r="G24" s="64"/>
      <c r="H24" s="64"/>
      <c r="I24" s="64"/>
      <c r="J24" s="64"/>
      <c r="K24" s="64"/>
      <c r="L24" s="64"/>
      <c r="M24" s="64"/>
      <c r="N24" s="64"/>
      <c r="O24" s="64"/>
      <c r="P24" s="64"/>
      <c r="Q24" s="64"/>
      <c r="R24" s="64"/>
      <c r="S24" s="64"/>
      <c r="T24" s="64"/>
      <c r="U24" s="64"/>
      <c r="V24" s="64"/>
      <c r="W24" s="64"/>
      <c r="X24" s="64"/>
      <c r="Y24" s="64"/>
      <c r="Z24" s="64"/>
      <c r="AA24" s="64"/>
      <c r="AB24" s="64"/>
      <c r="AC24" s="64"/>
      <c r="AD24" s="64"/>
      <c r="AE24" s="64"/>
      <c r="AF24" s="64"/>
      <c r="AG24" s="64"/>
      <c r="AH24" s="64"/>
      <c r="AI24" s="64"/>
    </row>
    <row r="25" spans="1:35">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64"/>
      <c r="AC25" s="64"/>
      <c r="AD25" s="64"/>
      <c r="AE25" s="64"/>
      <c r="AF25" s="64"/>
      <c r="AG25" s="64"/>
      <c r="AH25" s="64"/>
      <c r="AI25" s="64"/>
    </row>
    <row r="26" spans="1:35">
      <c r="A26" s="64"/>
      <c r="B26" s="64"/>
      <c r="C26" s="64"/>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row>
    <row r="27" spans="1:35">
      <c r="A27" s="64"/>
      <c r="B27" s="64"/>
      <c r="C27" s="64"/>
      <c r="D27" s="64"/>
      <c r="E27" s="64"/>
      <c r="F27" s="64"/>
      <c r="G27" s="64"/>
      <c r="H27" s="64"/>
      <c r="I27" s="64"/>
      <c r="J27" s="64"/>
      <c r="K27" s="64"/>
      <c r="L27" s="64"/>
      <c r="M27" s="64"/>
      <c r="N27" s="64"/>
      <c r="O27" s="64"/>
      <c r="P27" s="64"/>
      <c r="Q27" s="64"/>
      <c r="R27" s="64"/>
      <c r="S27" s="64"/>
      <c r="T27" s="64"/>
      <c r="U27" s="64"/>
      <c r="V27" s="64"/>
      <c r="W27" s="64"/>
      <c r="X27" s="64"/>
      <c r="Y27" s="64"/>
      <c r="Z27" s="64"/>
      <c r="AA27" s="64"/>
      <c r="AB27" s="64"/>
      <c r="AC27" s="64"/>
      <c r="AD27" s="64"/>
      <c r="AE27" s="64"/>
      <c r="AF27" s="64"/>
      <c r="AG27" s="64"/>
      <c r="AH27" s="64"/>
      <c r="AI27" s="64"/>
    </row>
    <row r="28" spans="1:35">
      <c r="A28" s="64"/>
      <c r="B28" s="64"/>
      <c r="C28" s="64"/>
      <c r="D28" s="64"/>
      <c r="E28" s="64"/>
      <c r="F28" s="64"/>
      <c r="G28" s="64"/>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row>
    <row r="29" spans="1:35">
      <c r="A29" s="64"/>
      <c r="B29" s="64"/>
      <c r="C29" s="64"/>
      <c r="D29" s="64"/>
      <c r="E29" s="64"/>
      <c r="F29" s="64"/>
      <c r="G29" s="64"/>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row>
    <row r="30" spans="1:35">
      <c r="A30" s="64"/>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row>
    <row r="31" spans="1:35">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row>
    <row r="32" spans="1:35">
      <c r="A32" s="64"/>
      <c r="B32" s="64"/>
      <c r="C32" s="64"/>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row>
    <row r="33" spans="1:35">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row>
    <row r="34" spans="1:35">
      <c r="A34" s="64"/>
      <c r="B34" s="64"/>
      <c r="C34" s="64"/>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row>
    <row r="35" spans="1:35">
      <c r="A35" s="64"/>
      <c r="B35" s="64"/>
      <c r="C35" s="64"/>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row>
    <row r="36" spans="1:35">
      <c r="A36" s="64"/>
      <c r="B36" s="64"/>
      <c r="C36" s="64"/>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row>
    <row r="37" spans="1:35">
      <c r="A37" s="64"/>
      <c r="B37" s="64" t="s">
        <v>813</v>
      </c>
      <c r="C37" s="64"/>
      <c r="D37" s="64"/>
      <c r="E37" s="64"/>
      <c r="F37" s="64"/>
      <c r="G37" s="64"/>
      <c r="H37" s="64"/>
      <c r="I37" s="64" t="s">
        <v>814</v>
      </c>
      <c r="J37" s="64"/>
      <c r="K37" s="64"/>
      <c r="L37" s="64"/>
      <c r="M37" s="64"/>
      <c r="N37" s="64"/>
      <c r="O37" s="64"/>
      <c r="P37" s="64" t="s">
        <v>815</v>
      </c>
      <c r="Q37" s="64"/>
      <c r="R37" s="64"/>
      <c r="S37" s="64"/>
      <c r="T37" s="64"/>
      <c r="U37" s="64"/>
      <c r="V37" s="64"/>
      <c r="W37" s="64" t="s">
        <v>816</v>
      </c>
      <c r="X37" s="64"/>
      <c r="Y37" s="64"/>
      <c r="Z37" s="64"/>
      <c r="AA37" s="64"/>
      <c r="AB37" s="64"/>
      <c r="AC37" s="64"/>
      <c r="AD37" s="64"/>
      <c r="AE37" s="64"/>
      <c r="AF37" s="64"/>
      <c r="AG37" s="64"/>
      <c r="AH37" s="64"/>
      <c r="AI37" s="64"/>
    </row>
    <row r="38" spans="1:35" ht="34.5" customHeight="1">
      <c r="A38" s="64"/>
      <c r="B38" s="310" t="str">
        <f>'Economic Assumptions'!B4</f>
        <v>Base</v>
      </c>
      <c r="C38" s="310" t="str">
        <f>'Economic Assumptions'!L4</f>
        <v>High Inflation</v>
      </c>
      <c r="D38" s="310" t="str">
        <f>'Economic Assumptions'!V4</f>
        <v>Base + 3%/y</v>
      </c>
      <c r="E38" s="310" t="str">
        <f>'Economic Assumptions'!AF4</f>
        <v>Base - 1.5%/y</v>
      </c>
      <c r="F38" s="310" t="str">
        <f>'Economic Assumptions'!AP4</f>
        <v>Flat Real</v>
      </c>
      <c r="G38" s="311"/>
      <c r="H38" s="64"/>
      <c r="I38" s="310" t="str">
        <f>B38</f>
        <v>Base</v>
      </c>
      <c r="J38" s="310" t="str">
        <f>C38</f>
        <v>High Inflation</v>
      </c>
      <c r="K38" s="310" t="str">
        <f>D38</f>
        <v>Base + 3%/y</v>
      </c>
      <c r="L38" s="310" t="str">
        <f>E38</f>
        <v>Base - 1.5%/y</v>
      </c>
      <c r="M38" s="310" t="str">
        <f>F38</f>
        <v>Flat Real</v>
      </c>
      <c r="N38" s="311"/>
      <c r="O38" s="64"/>
      <c r="P38" s="310" t="str">
        <f>I38</f>
        <v>Base</v>
      </c>
      <c r="Q38" s="310" t="str">
        <f>J38</f>
        <v>High Inflation</v>
      </c>
      <c r="R38" s="310" t="str">
        <f>K38</f>
        <v>Base + 3%/y</v>
      </c>
      <c r="S38" s="310" t="str">
        <f>L38</f>
        <v>Base - 1.5%/y</v>
      </c>
      <c r="T38" s="310" t="str">
        <f>M38</f>
        <v>Flat Real</v>
      </c>
      <c r="U38" s="64"/>
      <c r="V38" s="64"/>
      <c r="W38" s="310" t="str">
        <f>P38</f>
        <v>Base</v>
      </c>
      <c r="X38" s="310" t="str">
        <f>Q38</f>
        <v>High Inflation</v>
      </c>
      <c r="Y38" s="310" t="str">
        <f>R38</f>
        <v>Base + 3%/y</v>
      </c>
      <c r="Z38" s="310" t="str">
        <f>S38</f>
        <v>Base - 1.5%/y</v>
      </c>
      <c r="AA38" s="310" t="str">
        <f>T38</f>
        <v>Flat Real</v>
      </c>
      <c r="AB38" s="64"/>
      <c r="AC38" s="64"/>
      <c r="AD38" s="64"/>
      <c r="AE38" s="64"/>
      <c r="AF38" s="64"/>
      <c r="AG38" s="64"/>
      <c r="AH38" s="64"/>
      <c r="AI38" s="64"/>
    </row>
    <row r="39" spans="1:35">
      <c r="A39" s="106">
        <f>'Economic Assumptions'!A12</f>
        <v>2020</v>
      </c>
      <c r="B39" s="147">
        <f>'Economic Assumptions'!C12</f>
        <v>39.159999999999997</v>
      </c>
      <c r="C39" s="147">
        <f>'Economic Assumptions'!M12</f>
        <v>39.159999999999997</v>
      </c>
      <c r="D39" s="147">
        <f>'Economic Assumptions'!W12</f>
        <v>39.159999999999997</v>
      </c>
      <c r="E39" s="147">
        <f>'Economic Assumptions'!AG12</f>
        <v>39.159999999999997</v>
      </c>
      <c r="F39" s="147">
        <f>'Economic Assumptions'!AQ12</f>
        <v>39.159999999999997</v>
      </c>
      <c r="G39" s="121"/>
      <c r="H39" s="106">
        <f>A39</f>
        <v>2020</v>
      </c>
      <c r="I39" s="147">
        <f ca="1">'Economic Assumptions'!I12</f>
        <v>51.79321389783243</v>
      </c>
      <c r="J39" s="147">
        <f ca="1">'Economic Assumptions'!S12</f>
        <v>53.778361478407035</v>
      </c>
      <c r="K39" s="147">
        <f ca="1">'Economic Assumptions'!AC12</f>
        <v>45.413594257216772</v>
      </c>
      <c r="L39" s="147">
        <f ca="1">'Economic Assumptions'!AM12</f>
        <v>45.413594257216772</v>
      </c>
      <c r="M39" s="147">
        <f ca="1">'Economic Assumptions'!AW12</f>
        <v>45.413594257216772</v>
      </c>
      <c r="N39" s="121"/>
      <c r="O39" s="106">
        <f>H39</f>
        <v>2020</v>
      </c>
      <c r="P39" s="147">
        <f>'Economic Assumptions'!D12</f>
        <v>2</v>
      </c>
      <c r="Q39" s="147">
        <f>'Economic Assumptions'!N12</f>
        <v>2</v>
      </c>
      <c r="R39" s="147">
        <f>'Economic Assumptions'!X12</f>
        <v>2</v>
      </c>
      <c r="S39" s="147">
        <f>'Economic Assumptions'!AH12</f>
        <v>2</v>
      </c>
      <c r="T39" s="147">
        <f>'Economic Assumptions'!AR12</f>
        <v>2</v>
      </c>
      <c r="U39" s="64"/>
      <c r="V39" s="106">
        <f>O39</f>
        <v>2020</v>
      </c>
      <c r="W39" s="147">
        <f ca="1">'Economic Assumptions'!J12</f>
        <v>2.6452101071415952</v>
      </c>
      <c r="X39" s="147">
        <f ca="1">'Economic Assumptions'!T12</f>
        <v>2.7465966025744146</v>
      </c>
      <c r="Y39" s="147">
        <f ca="1">'Economic Assumptions'!AD12</f>
        <v>2.3193868364257804</v>
      </c>
      <c r="Z39" s="147">
        <f ca="1">'Economic Assumptions'!AN12</f>
        <v>2.3193868364257804</v>
      </c>
      <c r="AA39" s="147">
        <f ca="1">'Economic Assumptions'!AX12</f>
        <v>2.3193868364257804</v>
      </c>
      <c r="AB39" s="64"/>
      <c r="AC39" s="64"/>
      <c r="AD39" s="64"/>
      <c r="AE39" s="64"/>
      <c r="AF39" s="64"/>
      <c r="AG39" s="64"/>
      <c r="AH39" s="64"/>
      <c r="AI39" s="64"/>
    </row>
    <row r="40" spans="1:35">
      <c r="A40" s="108">
        <f>'Economic Assumptions'!A13</f>
        <v>2021</v>
      </c>
      <c r="B40" s="149">
        <f>'Economic Assumptions'!C13</f>
        <v>68.13</v>
      </c>
      <c r="C40" s="149">
        <f>'Economic Assumptions'!M13</f>
        <v>68.13</v>
      </c>
      <c r="D40" s="149">
        <f>'Economic Assumptions'!W13</f>
        <v>68.13</v>
      </c>
      <c r="E40" s="149">
        <f>'Economic Assumptions'!AG13</f>
        <v>68.13</v>
      </c>
      <c r="F40" s="149">
        <f>'Economic Assumptions'!AQ13</f>
        <v>68.13</v>
      </c>
      <c r="G40" s="121"/>
      <c r="H40" s="108">
        <f t="shared" ref="H40:H77" si="0">A40</f>
        <v>2021</v>
      </c>
      <c r="I40" s="149">
        <f ca="1">'Economic Assumptions'!I13</f>
        <v>87.061915265486419</v>
      </c>
      <c r="J40" s="149">
        <f ca="1">'Economic Assumptions'!S13</f>
        <v>90.398853397775298</v>
      </c>
      <c r="K40" s="149">
        <f ca="1">'Economic Assumptions'!AC13</f>
        <v>77.082841544238249</v>
      </c>
      <c r="L40" s="149">
        <f ca="1">'Economic Assumptions'!AM13</f>
        <v>77.082841544238249</v>
      </c>
      <c r="M40" s="149">
        <f ca="1">'Economic Assumptions'!AW13</f>
        <v>77.082841544238249</v>
      </c>
      <c r="N40" s="121"/>
      <c r="O40" s="108">
        <f t="shared" ref="O40:O77" si="1">H40</f>
        <v>2021</v>
      </c>
      <c r="P40" s="149">
        <f>'Economic Assumptions'!D13</f>
        <v>3.9</v>
      </c>
      <c r="Q40" s="149">
        <f>'Economic Assumptions'!N13</f>
        <v>3.9</v>
      </c>
      <c r="R40" s="149">
        <f>'Economic Assumptions'!X13</f>
        <v>3.9</v>
      </c>
      <c r="S40" s="149">
        <f>'Economic Assumptions'!AH13</f>
        <v>3.9</v>
      </c>
      <c r="T40" s="149">
        <f>'Economic Assumptions'!AR13</f>
        <v>3.9</v>
      </c>
      <c r="U40" s="64"/>
      <c r="V40" s="108">
        <f t="shared" ref="V40:V77" si="2">O40</f>
        <v>2021</v>
      </c>
      <c r="W40" s="149">
        <f ca="1">'Economic Assumptions'!J13</f>
        <v>4.9837291873682235</v>
      </c>
      <c r="X40" s="149">
        <f ca="1">'Economic Assumptions'!T13</f>
        <v>5.1747472222416508</v>
      </c>
      <c r="Y40" s="149">
        <f ca="1">'Economic Assumptions'!AD13</f>
        <v>4.4124920302734356</v>
      </c>
      <c r="Z40" s="149">
        <f ca="1">'Economic Assumptions'!AN13</f>
        <v>4.4124920302734356</v>
      </c>
      <c r="AA40" s="149">
        <f ca="1">'Economic Assumptions'!AX13</f>
        <v>4.4124920302734356</v>
      </c>
      <c r="AB40" s="64"/>
      <c r="AC40" s="64"/>
      <c r="AD40" s="64"/>
      <c r="AE40" s="64"/>
      <c r="AF40" s="64"/>
      <c r="AG40" s="64"/>
      <c r="AH40" s="64"/>
      <c r="AI40" s="64"/>
    </row>
    <row r="41" spans="1:35">
      <c r="A41" s="108">
        <f>'Economic Assumptions'!A14</f>
        <v>2022</v>
      </c>
      <c r="B41" s="149">
        <f>'Economic Assumptions'!C14</f>
        <v>94.9</v>
      </c>
      <c r="C41" s="149">
        <f>'Economic Assumptions'!M14</f>
        <v>94.9</v>
      </c>
      <c r="D41" s="149">
        <f>'Economic Assumptions'!W14</f>
        <v>94.9</v>
      </c>
      <c r="E41" s="149">
        <f>'Economic Assumptions'!AG14</f>
        <v>94.9</v>
      </c>
      <c r="F41" s="149">
        <f>'Economic Assumptions'!AQ14</f>
        <v>94.9</v>
      </c>
      <c r="G41" s="121"/>
      <c r="H41" s="108">
        <f t="shared" si="0"/>
        <v>2022</v>
      </c>
      <c r="I41" s="149">
        <f ca="1">'Economic Assumptions'!I14</f>
        <v>116.04855842994588</v>
      </c>
      <c r="J41" s="149">
        <f ca="1">'Economic Assumptions'!S14</f>
        <v>120.4965062914324</v>
      </c>
      <c r="K41" s="149">
        <f ca="1">'Economic Assumptions'!AC14</f>
        <v>104.75184332031249</v>
      </c>
      <c r="L41" s="149">
        <f ca="1">'Economic Assumptions'!AM14</f>
        <v>104.75184332031249</v>
      </c>
      <c r="M41" s="149">
        <f ca="1">'Economic Assumptions'!AW14</f>
        <v>104.75184332031249</v>
      </c>
      <c r="N41" s="121"/>
      <c r="O41" s="108">
        <f t="shared" si="1"/>
        <v>2022</v>
      </c>
      <c r="P41" s="149">
        <f>'Economic Assumptions'!D14</f>
        <v>6.4</v>
      </c>
      <c r="Q41" s="149">
        <f>'Economic Assumptions'!N14</f>
        <v>6.4</v>
      </c>
      <c r="R41" s="149">
        <f>'Economic Assumptions'!X14</f>
        <v>6.4</v>
      </c>
      <c r="S41" s="149">
        <f>'Economic Assumptions'!AH14</f>
        <v>6.4</v>
      </c>
      <c r="T41" s="149">
        <f>'Economic Assumptions'!AR14</f>
        <v>6.4</v>
      </c>
      <c r="U41" s="64"/>
      <c r="V41" s="108">
        <f t="shared" si="2"/>
        <v>2022</v>
      </c>
      <c r="W41" s="149">
        <f ca="1">'Economic Assumptions'!J14</f>
        <v>7.8262463008604177</v>
      </c>
      <c r="X41" s="149">
        <f ca="1">'Economic Assumptions'!T14</f>
        <v>8.1262132799280007</v>
      </c>
      <c r="Y41" s="149">
        <f ca="1">'Economic Assumptions'!AD14</f>
        <v>7.064402499999999</v>
      </c>
      <c r="Z41" s="149">
        <f ca="1">'Economic Assumptions'!AN14</f>
        <v>7.064402499999999</v>
      </c>
      <c r="AA41" s="149">
        <f ca="1">'Economic Assumptions'!AX14</f>
        <v>7.064402499999999</v>
      </c>
      <c r="AB41" s="64"/>
      <c r="AC41" s="64"/>
      <c r="AD41" s="64"/>
      <c r="AE41" s="64"/>
      <c r="AF41" s="64"/>
      <c r="AG41" s="64"/>
      <c r="AH41" s="64"/>
      <c r="AI41" s="64"/>
    </row>
    <row r="42" spans="1:35">
      <c r="A42" s="108">
        <f>'Economic Assumptions'!A15</f>
        <v>2023</v>
      </c>
      <c r="B42" s="149">
        <f>'Economic Assumptions'!C15</f>
        <v>85</v>
      </c>
      <c r="C42" s="149">
        <f>'Economic Assumptions'!M15</f>
        <v>85</v>
      </c>
      <c r="D42" s="149">
        <f>'Economic Assumptions'!W15</f>
        <v>85</v>
      </c>
      <c r="E42" s="149">
        <f>'Economic Assumptions'!AG15</f>
        <v>85</v>
      </c>
      <c r="F42" s="149">
        <f>'Economic Assumptions'!AQ15</f>
        <v>85</v>
      </c>
      <c r="G42" s="121"/>
      <c r="H42" s="108">
        <f t="shared" si="0"/>
        <v>2023</v>
      </c>
      <c r="I42" s="149">
        <f ca="1">'Economic Assumptions'!I15</f>
        <v>97.142367928320013</v>
      </c>
      <c r="J42" s="149">
        <f ca="1">'Economic Assumptions'!S15</f>
        <v>100.865673013125</v>
      </c>
      <c r="K42" s="149">
        <f ca="1">'Economic Assumptions'!AC15</f>
        <v>91.535703124999984</v>
      </c>
      <c r="L42" s="149">
        <f ca="1">'Economic Assumptions'!AM15</f>
        <v>91.535703124999984</v>
      </c>
      <c r="M42" s="149">
        <f ca="1">'Economic Assumptions'!AW15</f>
        <v>91.535703124999984</v>
      </c>
      <c r="N42" s="121"/>
      <c r="O42" s="108">
        <f t="shared" si="1"/>
        <v>2023</v>
      </c>
      <c r="P42" s="149">
        <f>'Economic Assumptions'!D15</f>
        <v>2.75</v>
      </c>
      <c r="Q42" s="149">
        <f>'Economic Assumptions'!N15</f>
        <v>2.75</v>
      </c>
      <c r="R42" s="149">
        <f>'Economic Assumptions'!X15</f>
        <v>2.75</v>
      </c>
      <c r="S42" s="149">
        <f>'Economic Assumptions'!AH15</f>
        <v>2.75</v>
      </c>
      <c r="T42" s="149">
        <f>'Economic Assumptions'!AR15</f>
        <v>2.75</v>
      </c>
      <c r="U42" s="64"/>
      <c r="V42" s="108">
        <f t="shared" si="2"/>
        <v>2023</v>
      </c>
      <c r="W42" s="149">
        <f ca="1">'Economic Assumptions'!J15</f>
        <v>3.1428413153280004</v>
      </c>
      <c r="X42" s="149">
        <f ca="1">'Economic Assumptions'!T15</f>
        <v>3.2633011857187504</v>
      </c>
      <c r="Y42" s="149">
        <f ca="1">'Economic Assumptions'!AD15</f>
        <v>2.9614492187499994</v>
      </c>
      <c r="Z42" s="149">
        <f ca="1">'Economic Assumptions'!AN15</f>
        <v>2.9614492187499994</v>
      </c>
      <c r="AA42" s="149">
        <f ca="1">'Economic Assumptions'!AX15</f>
        <v>2.9614492187499994</v>
      </c>
      <c r="AB42" s="64"/>
      <c r="AC42" s="64"/>
      <c r="AD42" s="64"/>
      <c r="AE42" s="64"/>
      <c r="AF42" s="64"/>
      <c r="AG42" s="64"/>
      <c r="AH42" s="64"/>
      <c r="AI42" s="64"/>
    </row>
    <row r="43" spans="1:35">
      <c r="A43" s="108">
        <f>'Economic Assumptions'!A16</f>
        <v>2024</v>
      </c>
      <c r="B43" s="149">
        <f>'Economic Assumptions'!C16</f>
        <v>85</v>
      </c>
      <c r="C43" s="149">
        <f>'Economic Assumptions'!M16</f>
        <v>85</v>
      </c>
      <c r="D43" s="149">
        <f>'Economic Assumptions'!W16</f>
        <v>85</v>
      </c>
      <c r="E43" s="149">
        <f>'Economic Assumptions'!AG16</f>
        <v>85</v>
      </c>
      <c r="F43" s="149">
        <f>'Economic Assumptions'!AQ16</f>
        <v>87.124999999999986</v>
      </c>
      <c r="G43" s="121"/>
      <c r="H43" s="108">
        <f t="shared" si="0"/>
        <v>2024</v>
      </c>
      <c r="I43" s="149">
        <f ca="1">'Economic Assumptions'!I16</f>
        <v>91.990878719999998</v>
      </c>
      <c r="J43" s="149">
        <f ca="1">'Economic Assumptions'!S16</f>
        <v>94.709552125000016</v>
      </c>
      <c r="K43" s="149">
        <f ca="1">'Economic Assumptions'!AC16</f>
        <v>89.303124999999994</v>
      </c>
      <c r="L43" s="149">
        <f ca="1">'Economic Assumptions'!AM16</f>
        <v>89.303124999999994</v>
      </c>
      <c r="M43" s="149">
        <f ca="1">'Economic Assumptions'!AW16</f>
        <v>91.535703124999984</v>
      </c>
      <c r="N43" s="121"/>
      <c r="O43" s="108">
        <f t="shared" si="1"/>
        <v>2024</v>
      </c>
      <c r="P43" s="149">
        <f>'Economic Assumptions'!D16</f>
        <v>3</v>
      </c>
      <c r="Q43" s="149">
        <f>'Economic Assumptions'!N16</f>
        <v>3</v>
      </c>
      <c r="R43" s="149">
        <f>'Economic Assumptions'!X16</f>
        <v>3</v>
      </c>
      <c r="S43" s="149">
        <f>'Economic Assumptions'!AH16</f>
        <v>3</v>
      </c>
      <c r="T43" s="149">
        <f>'Economic Assumptions'!AR16</f>
        <v>2.8187499999999996</v>
      </c>
      <c r="U43" s="64"/>
      <c r="V43" s="108">
        <f t="shared" si="2"/>
        <v>2024</v>
      </c>
      <c r="W43" s="149">
        <f ca="1">'Economic Assumptions'!J16</f>
        <v>3.2467368959999998</v>
      </c>
      <c r="X43" s="149">
        <f ca="1">'Economic Assumptions'!T16</f>
        <v>3.3426900750000001</v>
      </c>
      <c r="Y43" s="149">
        <f ca="1">'Economic Assumptions'!AD16</f>
        <v>3.1518749999999995</v>
      </c>
      <c r="Z43" s="149">
        <f ca="1">'Economic Assumptions'!AN16</f>
        <v>3.1518749999999995</v>
      </c>
      <c r="AA43" s="149">
        <f ca="1">'Economic Assumptions'!AX16</f>
        <v>2.9614492187499994</v>
      </c>
      <c r="AB43" s="64"/>
      <c r="AC43" s="64"/>
      <c r="AD43" s="64"/>
      <c r="AE43" s="64"/>
      <c r="AF43" s="64"/>
      <c r="AG43" s="64"/>
      <c r="AH43" s="64"/>
      <c r="AI43" s="64"/>
    </row>
    <row r="44" spans="1:35">
      <c r="A44" s="108">
        <f>'Economic Assumptions'!A17</f>
        <v>2025</v>
      </c>
      <c r="B44" s="149">
        <f>'Economic Assumptions'!C17</f>
        <v>87.55</v>
      </c>
      <c r="C44" s="149">
        <f>'Economic Assumptions'!M17</f>
        <v>87.55</v>
      </c>
      <c r="D44" s="149">
        <f>'Economic Assumptions'!W17</f>
        <v>90.1</v>
      </c>
      <c r="E44" s="149">
        <f>'Economic Assumptions'!AG17</f>
        <v>86.274999999999991</v>
      </c>
      <c r="F44" s="149">
        <f>'Economic Assumptions'!AQ17</f>
        <v>89.30312499999998</v>
      </c>
      <c r="G44" s="121"/>
      <c r="H44" s="108">
        <f t="shared" si="0"/>
        <v>2025</v>
      </c>
      <c r="I44" s="149">
        <f ca="1">'Economic Assumptions'!I17</f>
        <v>90.687792000000002</v>
      </c>
      <c r="J44" s="149">
        <f ca="1">'Economic Assumptions'!S17</f>
        <v>92.159507500000004</v>
      </c>
      <c r="K44" s="149">
        <f ca="1">'Economic Assumptions'!AC17</f>
        <v>92.352499999999992</v>
      </c>
      <c r="L44" s="149">
        <f ca="1">'Economic Assumptions'!AM17</f>
        <v>88.431874999999977</v>
      </c>
      <c r="M44" s="149">
        <f ca="1">'Economic Assumptions'!AW17</f>
        <v>91.535703124999969</v>
      </c>
      <c r="N44" s="121"/>
      <c r="O44" s="108">
        <f t="shared" si="1"/>
        <v>2025</v>
      </c>
      <c r="P44" s="149">
        <f>'Economic Assumptions'!D17</f>
        <v>3.09</v>
      </c>
      <c r="Q44" s="149">
        <f>'Economic Assumptions'!N17</f>
        <v>3.09</v>
      </c>
      <c r="R44" s="149">
        <f>'Economic Assumptions'!X17</f>
        <v>3.1799999999999997</v>
      </c>
      <c r="S44" s="149">
        <f>'Economic Assumptions'!AH17</f>
        <v>3.0449999999999999</v>
      </c>
      <c r="T44" s="149">
        <f>'Economic Assumptions'!AR17</f>
        <v>2.8892187499999995</v>
      </c>
      <c r="U44" s="64"/>
      <c r="V44" s="108">
        <f t="shared" si="2"/>
        <v>2025</v>
      </c>
      <c r="W44" s="149">
        <f ca="1">'Economic Assumptions'!J17</f>
        <v>3.2007456000000003</v>
      </c>
      <c r="X44" s="149">
        <f ca="1">'Economic Assumptions'!T17</f>
        <v>3.2526885000000001</v>
      </c>
      <c r="Y44" s="149">
        <f ca="1">'Economic Assumptions'!AD17</f>
        <v>3.2594999999999996</v>
      </c>
      <c r="Z44" s="149">
        <f ca="1">'Economic Assumptions'!AN17</f>
        <v>3.1211249999999997</v>
      </c>
      <c r="AA44" s="149">
        <f ca="1">'Economic Assumptions'!AX17</f>
        <v>2.9614492187499994</v>
      </c>
      <c r="AB44" s="64"/>
      <c r="AC44" s="64"/>
      <c r="AD44" s="64"/>
      <c r="AE44" s="64"/>
      <c r="AF44" s="64"/>
      <c r="AG44" s="64"/>
      <c r="AH44" s="64"/>
      <c r="AI44" s="64"/>
    </row>
    <row r="45" spans="1:35">
      <c r="A45" s="108">
        <f>'Economic Assumptions'!A18</f>
        <v>2026</v>
      </c>
      <c r="B45" s="149">
        <f>'Economic Assumptions'!C18</f>
        <v>90.176500000000004</v>
      </c>
      <c r="C45" s="149">
        <f>'Economic Assumptions'!M18</f>
        <v>90.176500000000004</v>
      </c>
      <c r="D45" s="149">
        <f>'Economic Assumptions'!W18</f>
        <v>95.429500000000004</v>
      </c>
      <c r="E45" s="149">
        <f>'Economic Assumptions'!AG18</f>
        <v>87.607375000000005</v>
      </c>
      <c r="F45" s="149">
        <f>'Economic Assumptions'!AQ18</f>
        <v>91.535703124999969</v>
      </c>
      <c r="G45" s="121"/>
      <c r="H45" s="108">
        <f t="shared" si="0"/>
        <v>2026</v>
      </c>
      <c r="I45" s="149">
        <f ca="1">'Economic Assumptions'!I18</f>
        <v>90.176500000000004</v>
      </c>
      <c r="J45" s="149">
        <f ca="1">'Economic Assumptions'!S18</f>
        <v>90.176500000000004</v>
      </c>
      <c r="K45" s="149">
        <f ca="1">'Economic Assumptions'!AC18</f>
        <v>95.429500000000004</v>
      </c>
      <c r="L45" s="149">
        <f ca="1">'Economic Assumptions'!AM18</f>
        <v>87.607375000000005</v>
      </c>
      <c r="M45" s="149">
        <f ca="1">'Economic Assumptions'!AW18</f>
        <v>91.535703124999969</v>
      </c>
      <c r="N45" s="121"/>
      <c r="O45" s="108">
        <f t="shared" si="1"/>
        <v>2026</v>
      </c>
      <c r="P45" s="149">
        <f>'Economic Assumptions'!D18</f>
        <v>3.1827000000000001</v>
      </c>
      <c r="Q45" s="149">
        <f>'Economic Assumptions'!N18</f>
        <v>3.1827000000000001</v>
      </c>
      <c r="R45" s="149">
        <f>'Economic Assumptions'!X18</f>
        <v>3.3681000000000001</v>
      </c>
      <c r="S45" s="149">
        <f>'Economic Assumptions'!AH18</f>
        <v>3.092025</v>
      </c>
      <c r="T45" s="149">
        <f>'Economic Assumptions'!AR18</f>
        <v>2.9614492187499994</v>
      </c>
      <c r="U45" s="64"/>
      <c r="V45" s="108">
        <f t="shared" si="2"/>
        <v>2026</v>
      </c>
      <c r="W45" s="149">
        <f ca="1">'Economic Assumptions'!J18</f>
        <v>3.1827000000000001</v>
      </c>
      <c r="X45" s="149">
        <f ca="1">'Economic Assumptions'!T18</f>
        <v>3.1827000000000001</v>
      </c>
      <c r="Y45" s="149">
        <f ca="1">'Economic Assumptions'!AD18</f>
        <v>3.3681000000000001</v>
      </c>
      <c r="Z45" s="149">
        <f ca="1">'Economic Assumptions'!AN18</f>
        <v>3.092025</v>
      </c>
      <c r="AA45" s="149">
        <f ca="1">'Economic Assumptions'!AX18</f>
        <v>2.9614492187499994</v>
      </c>
      <c r="AB45" s="64"/>
      <c r="AC45" s="64"/>
      <c r="AD45" s="64"/>
      <c r="AE45" s="64"/>
      <c r="AF45" s="64"/>
      <c r="AG45" s="64"/>
      <c r="AH45" s="64"/>
      <c r="AI45" s="64"/>
    </row>
    <row r="46" spans="1:35">
      <c r="A46" s="108">
        <f>'Economic Assumptions'!A19</f>
        <v>2027</v>
      </c>
      <c r="B46" s="149">
        <f>'Economic Assumptions'!C19</f>
        <v>92.881795000000011</v>
      </c>
      <c r="C46" s="149">
        <f>'Economic Assumptions'!M19</f>
        <v>92.881795000000011</v>
      </c>
      <c r="D46" s="149">
        <f>'Economic Assumptions'!W19</f>
        <v>100.99768000000002</v>
      </c>
      <c r="E46" s="149">
        <f>'Economic Assumptions'!AG19</f>
        <v>88.998559375000013</v>
      </c>
      <c r="F46" s="149">
        <f>'Economic Assumptions'!AQ19</f>
        <v>93.824095703124954</v>
      </c>
      <c r="G46" s="121"/>
      <c r="H46" s="108">
        <f t="shared" si="0"/>
        <v>2027</v>
      </c>
      <c r="I46" s="149">
        <f ca="1">'Economic Assumptions'!I19</f>
        <v>90.176500000000019</v>
      </c>
      <c r="J46" s="149">
        <f ca="1">'Economic Assumptions'!S19</f>
        <v>89.082728422336828</v>
      </c>
      <c r="K46" s="149">
        <f ca="1">'Economic Assumptions'!AC19</f>
        <v>98.534321951219539</v>
      </c>
      <c r="L46" s="149">
        <f ca="1">'Economic Assumptions'!AM19</f>
        <v>86.827862804878066</v>
      </c>
      <c r="M46" s="149">
        <f ca="1">'Economic Assumptions'!AW19</f>
        <v>91.535703124999969</v>
      </c>
      <c r="N46" s="121"/>
      <c r="O46" s="108">
        <f t="shared" si="1"/>
        <v>2027</v>
      </c>
      <c r="P46" s="149">
        <f>'Economic Assumptions'!D19</f>
        <v>3.278181</v>
      </c>
      <c r="Q46" s="149">
        <f>'Economic Assumptions'!N19</f>
        <v>3.278181</v>
      </c>
      <c r="R46" s="149">
        <f>'Economic Assumptions'!X19</f>
        <v>3.5646240000000002</v>
      </c>
      <c r="S46" s="149">
        <f>'Economic Assumptions'!AH19</f>
        <v>3.1411256249999999</v>
      </c>
      <c r="T46" s="149">
        <f>'Economic Assumptions'!AR19</f>
        <v>3.0354854492187493</v>
      </c>
      <c r="U46" s="64"/>
      <c r="V46" s="108">
        <f t="shared" si="2"/>
        <v>2027</v>
      </c>
      <c r="W46" s="149">
        <f ca="1">'Economic Assumptions'!J19</f>
        <v>3.1827000000000001</v>
      </c>
      <c r="X46" s="149">
        <f ca="1">'Economic Assumptions'!T19</f>
        <v>3.1440962972589466</v>
      </c>
      <c r="Y46" s="149">
        <f ca="1">'Economic Assumptions'!AD19</f>
        <v>3.477681951219513</v>
      </c>
      <c r="Z46" s="149">
        <f ca="1">'Economic Assumptions'!AN19</f>
        <v>3.0645128048780488</v>
      </c>
      <c r="AA46" s="149">
        <f ca="1">'Economic Assumptions'!AX19</f>
        <v>2.9614492187499994</v>
      </c>
      <c r="AB46" s="64"/>
      <c r="AC46" s="64"/>
      <c r="AD46" s="64"/>
      <c r="AE46" s="64"/>
      <c r="AF46" s="64"/>
      <c r="AG46" s="64"/>
      <c r="AH46" s="64"/>
      <c r="AI46" s="64"/>
    </row>
    <row r="47" spans="1:35">
      <c r="A47" s="108">
        <f>'Economic Assumptions'!A20</f>
        <v>2028</v>
      </c>
      <c r="B47" s="149">
        <f>'Economic Assumptions'!C20</f>
        <v>95.668248850000012</v>
      </c>
      <c r="C47" s="149">
        <f>'Economic Assumptions'!M20</f>
        <v>95.668248850000012</v>
      </c>
      <c r="D47" s="149">
        <f>'Economic Assumptions'!W20</f>
        <v>106.81406425000002</v>
      </c>
      <c r="E47" s="149">
        <f>'Economic Assumptions'!AG20</f>
        <v>90.450034834375018</v>
      </c>
      <c r="F47" s="149">
        <f>'Economic Assumptions'!AQ20</f>
        <v>96.169698095703069</v>
      </c>
      <c r="G47" s="121"/>
      <c r="H47" s="108">
        <f t="shared" si="0"/>
        <v>2028</v>
      </c>
      <c r="I47" s="149">
        <f ca="1">'Economic Assumptions'!I20</f>
        <v>90.176500000000004</v>
      </c>
      <c r="J47" s="149">
        <f ca="1">'Economic Assumptions'!S20</f>
        <v>88.363649918386898</v>
      </c>
      <c r="K47" s="149">
        <f ca="1">'Economic Assumptions'!AC20</f>
        <v>101.66716406900657</v>
      </c>
      <c r="L47" s="149">
        <f ca="1">'Economic Assumptions'!AM20</f>
        <v>86.091645291493194</v>
      </c>
      <c r="M47" s="149">
        <f ca="1">'Economic Assumptions'!AW20</f>
        <v>91.535703124999955</v>
      </c>
      <c r="N47" s="121"/>
      <c r="O47" s="108">
        <f t="shared" si="1"/>
        <v>2028</v>
      </c>
      <c r="P47" s="149">
        <f>'Economic Assumptions'!D20</f>
        <v>3.3765264300000002</v>
      </c>
      <c r="Q47" s="149">
        <f>'Economic Assumptions'!N20</f>
        <v>3.3765264300000002</v>
      </c>
      <c r="R47" s="149">
        <f>'Economic Assumptions'!X20</f>
        <v>3.7699081500000005</v>
      </c>
      <c r="S47" s="149">
        <f>'Economic Assumptions'!AH20</f>
        <v>3.1923541706250003</v>
      </c>
      <c r="T47" s="149">
        <f>'Economic Assumptions'!AR20</f>
        <v>3.1113725854492178</v>
      </c>
      <c r="U47" s="64"/>
      <c r="V47" s="108">
        <f t="shared" si="2"/>
        <v>2028</v>
      </c>
      <c r="W47" s="149">
        <f ca="1">'Economic Assumptions'!J20</f>
        <v>3.1827000000000001</v>
      </c>
      <c r="X47" s="149">
        <f ca="1">'Economic Assumptions'!T20</f>
        <v>3.1187170559430668</v>
      </c>
      <c r="Y47" s="149">
        <f ca="1">'Economic Assumptions'!AD20</f>
        <v>3.5882528494943497</v>
      </c>
      <c r="Z47" s="149">
        <f ca="1">'Economic Assumptions'!AN20</f>
        <v>3.0385286573468182</v>
      </c>
      <c r="AA47" s="149">
        <f ca="1">'Economic Assumptions'!AX20</f>
        <v>2.9614492187499994</v>
      </c>
      <c r="AB47" s="64"/>
      <c r="AC47" s="64"/>
      <c r="AD47" s="64"/>
      <c r="AE47" s="64"/>
      <c r="AF47" s="64"/>
      <c r="AG47" s="64"/>
      <c r="AH47" s="64"/>
      <c r="AI47" s="64"/>
    </row>
    <row r="48" spans="1:35">
      <c r="A48" s="108">
        <f>'Economic Assumptions'!A21</f>
        <v>2029</v>
      </c>
      <c r="B48" s="149">
        <f>'Economic Assumptions'!C21</f>
        <v>98.53829631550002</v>
      </c>
      <c r="C48" s="149">
        <f>'Economic Assumptions'!M21</f>
        <v>98.53829631550002</v>
      </c>
      <c r="D48" s="149">
        <f>'Economic Assumptions'!W21</f>
        <v>112.88853364300003</v>
      </c>
      <c r="E48" s="149">
        <f>'Economic Assumptions'!AG21</f>
        <v>91.9633317773594</v>
      </c>
      <c r="F48" s="149">
        <f>'Economic Assumptions'!AQ21</f>
        <v>98.573940548095635</v>
      </c>
      <c r="G48" s="121"/>
      <c r="H48" s="108">
        <f t="shared" si="0"/>
        <v>2029</v>
      </c>
      <c r="I48" s="149">
        <f ca="1">'Economic Assumptions'!I21</f>
        <v>90.176500000000004</v>
      </c>
      <c r="J48" s="149">
        <f ca="1">'Economic Assumptions'!S21</f>
        <v>87.936772382549293</v>
      </c>
      <c r="K48" s="149">
        <f ca="1">'Economic Assumptions'!AC21</f>
        <v>104.82822584048409</v>
      </c>
      <c r="L48" s="149">
        <f ca="1">'Economic Assumptions'!AM21</f>
        <v>85.39709571467337</v>
      </c>
      <c r="M48" s="149">
        <f ca="1">'Economic Assumptions'!AW21</f>
        <v>91.535703124999969</v>
      </c>
      <c r="N48" s="121"/>
      <c r="O48" s="108">
        <f t="shared" si="1"/>
        <v>2029</v>
      </c>
      <c r="P48" s="149">
        <f>'Economic Assumptions'!D21</f>
        <v>3.4778222229000004</v>
      </c>
      <c r="Q48" s="149">
        <f>'Economic Assumptions'!N21</f>
        <v>3.4778222229000004</v>
      </c>
      <c r="R48" s="149">
        <f>'Economic Assumptions'!X21</f>
        <v>3.9843011874000007</v>
      </c>
      <c r="S48" s="149">
        <f>'Economic Assumptions'!AH21</f>
        <v>3.2457646509656253</v>
      </c>
      <c r="T48" s="149">
        <f>'Economic Assumptions'!AR21</f>
        <v>3.1891569000854481</v>
      </c>
      <c r="U48" s="64"/>
      <c r="V48" s="108">
        <f t="shared" si="2"/>
        <v>2029</v>
      </c>
      <c r="W48" s="149">
        <f ca="1">'Economic Assumptions'!J21</f>
        <v>3.1827000000000001</v>
      </c>
      <c r="X48" s="149">
        <f ca="1">'Economic Assumptions'!T21</f>
        <v>3.1036507899723276</v>
      </c>
      <c r="Y48" s="149">
        <f ca="1">'Economic Assumptions'!AD21</f>
        <v>3.6998197355464968</v>
      </c>
      <c r="Z48" s="149">
        <f ca="1">'Economic Assumptions'!AN21</f>
        <v>3.0140151428708242</v>
      </c>
      <c r="AA48" s="149">
        <f ca="1">'Economic Assumptions'!AX21</f>
        <v>2.9614492187499999</v>
      </c>
      <c r="AB48" s="64"/>
      <c r="AC48" s="64"/>
      <c r="AD48" s="64"/>
      <c r="AE48" s="64"/>
      <c r="AF48" s="64"/>
      <c r="AG48" s="64"/>
      <c r="AH48" s="64"/>
      <c r="AI48" s="64"/>
    </row>
    <row r="49" spans="1:35">
      <c r="A49" s="108">
        <f>'Economic Assumptions'!A22</f>
        <v>2030</v>
      </c>
      <c r="B49" s="149">
        <f>'Economic Assumptions'!C22</f>
        <v>101.49444520496502</v>
      </c>
      <c r="C49" s="149">
        <f>'Economic Assumptions'!M22</f>
        <v>101.49444520496502</v>
      </c>
      <c r="D49" s="149">
        <f>'Economic Assumptions'!W22</f>
        <v>119.23133854175504</v>
      </c>
      <c r="E49" s="149">
        <f>'Economic Assumptions'!AG22</f>
        <v>93.540030690164002</v>
      </c>
      <c r="F49" s="149">
        <f>'Economic Assumptions'!AQ22</f>
        <v>101.03828906179801</v>
      </c>
      <c r="G49" s="121"/>
      <c r="H49" s="108">
        <f t="shared" si="0"/>
        <v>2030</v>
      </c>
      <c r="I49" s="149">
        <f ca="1">'Economic Assumptions'!I22</f>
        <v>90.176500000000004</v>
      </c>
      <c r="J49" s="149">
        <f ca="1">'Economic Assumptions'!S22</f>
        <v>87.511957057029733</v>
      </c>
      <c r="K49" s="149">
        <f ca="1">'Economic Assumptions'!AC22</f>
        <v>108.01770803224088</v>
      </c>
      <c r="L49" s="149">
        <f ca="1">'Economic Assumptions'!AM22</f>
        <v>84.742651118342962</v>
      </c>
      <c r="M49" s="149">
        <f ca="1">'Economic Assumptions'!AW22</f>
        <v>91.535703124999955</v>
      </c>
      <c r="N49" s="121"/>
      <c r="O49" s="108">
        <f t="shared" si="1"/>
        <v>2030</v>
      </c>
      <c r="P49" s="149">
        <f>'Economic Assumptions'!D22</f>
        <v>3.5821568895870004</v>
      </c>
      <c r="Q49" s="149">
        <f>'Economic Assumptions'!N22</f>
        <v>3.5821568895870004</v>
      </c>
      <c r="R49" s="149">
        <f>'Economic Assumptions'!X22</f>
        <v>4.2081648897090016</v>
      </c>
      <c r="S49" s="149">
        <f>'Economic Assumptions'!AH22</f>
        <v>3.301412847888141</v>
      </c>
      <c r="T49" s="149">
        <f>'Economic Assumptions'!AR22</f>
        <v>3.2688858225875839</v>
      </c>
      <c r="U49" s="64"/>
      <c r="V49" s="108">
        <f t="shared" si="2"/>
        <v>2030</v>
      </c>
      <c r="W49" s="149">
        <f ca="1">'Economic Assumptions'!J22</f>
        <v>3.1827000000000001</v>
      </c>
      <c r="X49" s="149">
        <f ca="1">'Economic Assumptions'!T22</f>
        <v>3.0886573078951671</v>
      </c>
      <c r="Y49" s="149">
        <f ca="1">'Economic Assumptions'!AD22</f>
        <v>3.8123896952555607</v>
      </c>
      <c r="Z49" s="149">
        <f ca="1">'Economic Assumptions'!AN22</f>
        <v>2.9909170982944575</v>
      </c>
      <c r="AA49" s="149">
        <f ca="1">'Economic Assumptions'!AX22</f>
        <v>2.9614492187499999</v>
      </c>
      <c r="AB49" s="64"/>
      <c r="AC49" s="64"/>
      <c r="AD49" s="64"/>
      <c r="AE49" s="64"/>
      <c r="AF49" s="64"/>
      <c r="AG49" s="64"/>
      <c r="AH49" s="64"/>
      <c r="AI49" s="64"/>
    </row>
    <row r="50" spans="1:35">
      <c r="A50" s="108">
        <f>'Economic Assumptions'!A23</f>
        <v>2031</v>
      </c>
      <c r="B50" s="149">
        <f>'Economic Assumptions'!C23</f>
        <v>104.53927856111397</v>
      </c>
      <c r="C50" s="149">
        <f>'Economic Assumptions'!M23</f>
        <v>104.53927856111397</v>
      </c>
      <c r="D50" s="149">
        <f>'Economic Assumptions'!W23</f>
        <v>125.85311205415665</v>
      </c>
      <c r="E50" s="149">
        <f>'Economic Assumptions'!AG23</f>
        <v>95.181763585960496</v>
      </c>
      <c r="F50" s="149">
        <f>'Economic Assumptions'!AQ23</f>
        <v>103.56424628834296</v>
      </c>
      <c r="G50" s="121"/>
      <c r="H50" s="108">
        <f t="shared" si="0"/>
        <v>2031</v>
      </c>
      <c r="I50" s="149">
        <f ca="1">'Economic Assumptions'!I23</f>
        <v>90.176500000000004</v>
      </c>
      <c r="J50" s="149">
        <f ca="1">'Economic Assumptions'!S23</f>
        <v>87.089193979459566</v>
      </c>
      <c r="K50" s="149">
        <f ca="1">'Economic Assumptions'!AC23</f>
        <v>111.23581269806739</v>
      </c>
      <c r="L50" s="149">
        <f ca="1">'Economic Assumptions'!AM23</f>
        <v>84.126809847686616</v>
      </c>
      <c r="M50" s="149">
        <f ca="1">'Economic Assumptions'!AW23</f>
        <v>91.535703124999969</v>
      </c>
      <c r="N50" s="121"/>
      <c r="O50" s="108">
        <f t="shared" si="1"/>
        <v>2031</v>
      </c>
      <c r="P50" s="149">
        <f>'Economic Assumptions'!D23</f>
        <v>3.6896215962746104</v>
      </c>
      <c r="Q50" s="149">
        <f>'Economic Assumptions'!N23</f>
        <v>3.6896215962746104</v>
      </c>
      <c r="R50" s="149">
        <f>'Economic Assumptions'!X23</f>
        <v>4.4418745430878817</v>
      </c>
      <c r="S50" s="149">
        <f>'Economic Assumptions'!AH23</f>
        <v>3.3593563618574289</v>
      </c>
      <c r="T50" s="149">
        <f>'Economic Assumptions'!AR23</f>
        <v>3.3506079681522731</v>
      </c>
      <c r="U50" s="64"/>
      <c r="V50" s="108">
        <f t="shared" si="2"/>
        <v>2031</v>
      </c>
      <c r="W50" s="149">
        <f ca="1">'Economic Assumptions'!J23</f>
        <v>3.1827000000000001</v>
      </c>
      <c r="X50" s="149">
        <f ca="1">'Economic Assumptions'!T23</f>
        <v>3.0737362580985721</v>
      </c>
      <c r="Y50" s="149">
        <f ca="1">'Economic Assumptions'!AD23</f>
        <v>3.92596985993179</v>
      </c>
      <c r="Z50" s="149">
        <f ca="1">'Economic Assumptions'!AN23</f>
        <v>2.969181524035998</v>
      </c>
      <c r="AA50" s="149">
        <f ca="1">'Economic Assumptions'!AX23</f>
        <v>2.9614492187499999</v>
      </c>
      <c r="AB50" s="64"/>
      <c r="AC50" s="64"/>
      <c r="AD50" s="64"/>
      <c r="AE50" s="64"/>
      <c r="AF50" s="64"/>
      <c r="AG50" s="64"/>
      <c r="AH50" s="64"/>
      <c r="AI50" s="64"/>
    </row>
    <row r="51" spans="1:35">
      <c r="A51" s="108">
        <f>'Economic Assumptions'!A24</f>
        <v>2032</v>
      </c>
      <c r="B51" s="149">
        <f>'Economic Assumptions'!C24</f>
        <v>107.6754569179474</v>
      </c>
      <c r="C51" s="149">
        <f>'Economic Assumptions'!M24</f>
        <v>107.6754569179474</v>
      </c>
      <c r="D51" s="149">
        <f>'Economic Assumptions'!W24</f>
        <v>132.76488377261478</v>
      </c>
      <c r="E51" s="149">
        <f>'Economic Assumptions'!AG24</f>
        <v>96.890215489004518</v>
      </c>
      <c r="F51" s="149">
        <f>'Economic Assumptions'!AQ24</f>
        <v>106.15335244555152</v>
      </c>
      <c r="G51" s="121"/>
      <c r="H51" s="108">
        <f t="shared" si="0"/>
        <v>2032</v>
      </c>
      <c r="I51" s="149">
        <f ca="1">'Economic Assumptions'!I24</f>
        <v>90.176500000000019</v>
      </c>
      <c r="J51" s="149">
        <f ca="1">'Economic Assumptions'!S24</f>
        <v>86.668473235597446</v>
      </c>
      <c r="K51" s="149">
        <f ca="1">'Economic Assumptions'!AC24</f>
        <v>114.48274318673641</v>
      </c>
      <c r="L51" s="149">
        <f ca="1">'Economic Assumptions'!AM24</f>
        <v>83.548129158406553</v>
      </c>
      <c r="M51" s="149">
        <f ca="1">'Economic Assumptions'!AW24</f>
        <v>91.535703124999969</v>
      </c>
      <c r="N51" s="121"/>
      <c r="O51" s="108">
        <f t="shared" si="1"/>
        <v>2032</v>
      </c>
      <c r="P51" s="149">
        <f>'Economic Assumptions'!D24</f>
        <v>3.8003102441628487</v>
      </c>
      <c r="Q51" s="149">
        <f>'Economic Assumptions'!N24</f>
        <v>3.8003102441628487</v>
      </c>
      <c r="R51" s="149">
        <f>'Economic Assumptions'!X24</f>
        <v>4.6858194272687559</v>
      </c>
      <c r="S51" s="149">
        <f>'Economic Assumptions'!AH24</f>
        <v>3.4196546643178056</v>
      </c>
      <c r="T51" s="149">
        <f>'Economic Assumptions'!AR24</f>
        <v>3.4343731673560796</v>
      </c>
      <c r="U51" s="64"/>
      <c r="V51" s="108">
        <f t="shared" si="2"/>
        <v>2032</v>
      </c>
      <c r="W51" s="149">
        <f ca="1">'Economic Assumptions'!J24</f>
        <v>3.1826999999999996</v>
      </c>
      <c r="X51" s="149">
        <f ca="1">'Economic Assumptions'!T24</f>
        <v>3.0588872906681446</v>
      </c>
      <c r="Y51" s="149">
        <f ca="1">'Economic Assumptions'!AD24</f>
        <v>4.0405674065906956</v>
      </c>
      <c r="Z51" s="149">
        <f ca="1">'Economic Assumptions'!AN24</f>
        <v>2.9487574997084658</v>
      </c>
      <c r="AA51" s="149">
        <f ca="1">'Economic Assumptions'!AX24</f>
        <v>2.9614492187499999</v>
      </c>
      <c r="AB51" s="64"/>
      <c r="AC51" s="64"/>
      <c r="AD51" s="64"/>
      <c r="AE51" s="64"/>
      <c r="AF51" s="64"/>
      <c r="AG51" s="64"/>
      <c r="AH51" s="64"/>
      <c r="AI51" s="64"/>
    </row>
    <row r="52" spans="1:35">
      <c r="A52" s="108">
        <f>'Economic Assumptions'!A25</f>
        <v>2033</v>
      </c>
      <c r="B52" s="149">
        <f>'Economic Assumptions'!C25</f>
        <v>110.90572062548583</v>
      </c>
      <c r="C52" s="149">
        <f>'Economic Assumptions'!M25</f>
        <v>110.90572062548583</v>
      </c>
      <c r="D52" s="149">
        <f>'Economic Assumptions'!W25</f>
        <v>139.97809399333164</v>
      </c>
      <c r="E52" s="149">
        <f>'Economic Assumptions'!AG25</f>
        <v>98.66712596420787</v>
      </c>
      <c r="F52" s="149">
        <f>'Economic Assumptions'!AQ25</f>
        <v>108.8071862566903</v>
      </c>
      <c r="G52" s="121"/>
      <c r="H52" s="108">
        <f t="shared" si="0"/>
        <v>2033</v>
      </c>
      <c r="I52" s="149">
        <f ca="1">'Economic Assumptions'!I25</f>
        <v>90.176500000000004</v>
      </c>
      <c r="J52" s="149">
        <f ca="1">'Economic Assumptions'!S25</f>
        <v>86.249784959096985</v>
      </c>
      <c r="K52" s="149">
        <f ca="1">'Economic Assumptions'!AC25</f>
        <v>117.75870414982913</v>
      </c>
      <c r="L52" s="149">
        <f ca="1">'Economic Assumptions'!AM25</f>
        <v>83.005222919284691</v>
      </c>
      <c r="M52" s="149">
        <f ca="1">'Economic Assumptions'!AW25</f>
        <v>91.535703124999969</v>
      </c>
      <c r="N52" s="121"/>
      <c r="O52" s="108">
        <f t="shared" si="1"/>
        <v>2033</v>
      </c>
      <c r="P52" s="149">
        <f>'Economic Assumptions'!D25</f>
        <v>3.914319551487734</v>
      </c>
      <c r="Q52" s="149">
        <f>'Economic Assumptions'!N25</f>
        <v>3.914319551487734</v>
      </c>
      <c r="R52" s="149">
        <f>'Economic Assumptions'!X25</f>
        <v>4.9404033174117039</v>
      </c>
      <c r="S52" s="149">
        <f>'Economic Assumptions'!AH25</f>
        <v>3.4823691516779238</v>
      </c>
      <c r="T52" s="149">
        <f>'Economic Assumptions'!AR25</f>
        <v>3.5202324965399812</v>
      </c>
      <c r="U52" s="64"/>
      <c r="V52" s="108">
        <f t="shared" si="2"/>
        <v>2033</v>
      </c>
      <c r="W52" s="149">
        <f ca="1">'Economic Assumptions'!J25</f>
        <v>3.1826999999999996</v>
      </c>
      <c r="X52" s="149">
        <f ca="1">'Economic Assumptions'!T25</f>
        <v>3.0441100573798927</v>
      </c>
      <c r="Y52" s="149">
        <f ca="1">'Economic Assumptions'!AD25</f>
        <v>4.1561895582292623</v>
      </c>
      <c r="Z52" s="149">
        <f ca="1">'Economic Assumptions'!AN25</f>
        <v>2.9295961030335764</v>
      </c>
      <c r="AA52" s="149">
        <f ca="1">'Economic Assumptions'!AX25</f>
        <v>2.9614492187499999</v>
      </c>
      <c r="AB52" s="64"/>
      <c r="AC52" s="64"/>
      <c r="AD52" s="64"/>
      <c r="AE52" s="64"/>
      <c r="AF52" s="64"/>
      <c r="AG52" s="64"/>
      <c r="AH52" s="64"/>
      <c r="AI52" s="64"/>
    </row>
    <row r="53" spans="1:35">
      <c r="A53" s="108">
        <f>'Economic Assumptions'!A26</f>
        <v>2034</v>
      </c>
      <c r="B53" s="149">
        <f>'Economic Assumptions'!C26</f>
        <v>114.23289224425041</v>
      </c>
      <c r="C53" s="149">
        <f>'Economic Assumptions'!M26</f>
        <v>114.23289224425041</v>
      </c>
      <c r="D53" s="149">
        <f>'Economic Assumptions'!W26</f>
        <v>147.5046084318962</v>
      </c>
      <c r="E53" s="149">
        <f>'Economic Assumptions'!AG26</f>
        <v>100.51429069350934</v>
      </c>
      <c r="F53" s="149">
        <f>'Economic Assumptions'!AQ26</f>
        <v>111.52736591310754</v>
      </c>
      <c r="G53" s="121"/>
      <c r="H53" s="108">
        <f t="shared" si="0"/>
        <v>2034</v>
      </c>
      <c r="I53" s="149">
        <f ca="1">'Economic Assumptions'!I26</f>
        <v>90.176500000000019</v>
      </c>
      <c r="J53" s="149">
        <f ca="1">'Economic Assumptions'!S26</f>
        <v>85.83311933127527</v>
      </c>
      <c r="K53" s="149">
        <f ca="1">'Economic Assumptions'!AC26</f>
        <v>121.06390154960674</v>
      </c>
      <c r="L53" s="149">
        <f ca="1">'Economic Assumptions'!AM26</f>
        <v>82.496759404408095</v>
      </c>
      <c r="M53" s="149">
        <f ca="1">'Economic Assumptions'!AW26</f>
        <v>91.535703124999969</v>
      </c>
      <c r="N53" s="121"/>
      <c r="O53" s="108">
        <f t="shared" si="1"/>
        <v>2034</v>
      </c>
      <c r="P53" s="149">
        <f>'Economic Assumptions'!D26</f>
        <v>4.0317491380323665</v>
      </c>
      <c r="Q53" s="149">
        <f>'Economic Assumptions'!N26</f>
        <v>4.0317491380323665</v>
      </c>
      <c r="R53" s="149">
        <f>'Economic Assumptions'!X26</f>
        <v>5.2060450034786871</v>
      </c>
      <c r="S53" s="149">
        <f>'Economic Assumptions'!AH26</f>
        <v>3.5475632009473874</v>
      </c>
      <c r="T53" s="149">
        <f>'Economic Assumptions'!AR26</f>
        <v>3.6082383089534802</v>
      </c>
      <c r="U53" s="64"/>
      <c r="V53" s="108">
        <f t="shared" si="2"/>
        <v>2034</v>
      </c>
      <c r="W53" s="149">
        <f ca="1">'Economic Assumptions'!J26</f>
        <v>3.1827000000000001</v>
      </c>
      <c r="X53" s="149">
        <f ca="1">'Economic Assumptions'!T26</f>
        <v>3.0294042116920674</v>
      </c>
      <c r="Y53" s="149">
        <f ca="1">'Economic Assumptions'!AD26</f>
        <v>4.2728435841037653</v>
      </c>
      <c r="Z53" s="149">
        <f ca="1">'Economic Assumptions'!AN26</f>
        <v>2.9116503319202849</v>
      </c>
      <c r="AA53" s="149">
        <f ca="1">'Economic Assumptions'!AX26</f>
        <v>2.9614492187499994</v>
      </c>
      <c r="AB53" s="64"/>
      <c r="AC53" s="64"/>
      <c r="AD53" s="64"/>
      <c r="AE53" s="64"/>
      <c r="AF53" s="64"/>
      <c r="AG53" s="64"/>
      <c r="AH53" s="64"/>
      <c r="AI53" s="64"/>
    </row>
    <row r="54" spans="1:35">
      <c r="A54" s="108">
        <f>'Economic Assumptions'!A27</f>
        <v>2035</v>
      </c>
      <c r="B54" s="149">
        <f>'Economic Assumptions'!C27</f>
        <v>117.65987901157793</v>
      </c>
      <c r="C54" s="149">
        <f>'Economic Assumptions'!M27</f>
        <v>117.65987901157793</v>
      </c>
      <c r="D54" s="149">
        <f>'Economic Assumptions'!W27</f>
        <v>155.35673345218061</v>
      </c>
      <c r="E54" s="149">
        <f>'Economic Assumptions'!AG27</f>
        <v>102.43356310043421</v>
      </c>
      <c r="F54" s="149">
        <f>'Economic Assumptions'!AQ27</f>
        <v>114.31555006093522</v>
      </c>
      <c r="G54" s="121"/>
      <c r="H54" s="108">
        <f t="shared" si="0"/>
        <v>2035</v>
      </c>
      <c r="I54" s="149">
        <f ca="1">'Economic Assumptions'!I27</f>
        <v>90.176500000000019</v>
      </c>
      <c r="J54" s="149">
        <f ca="1">'Economic Assumptions'!S27</f>
        <v>85.418466580882651</v>
      </c>
      <c r="K54" s="149">
        <f ca="1">'Economic Assumptions'!AC27</f>
        <v>124.39854266692767</v>
      </c>
      <c r="L54" s="149">
        <f ca="1">'Economic Assumptions'!AM27</f>
        <v>82.021459171558917</v>
      </c>
      <c r="M54" s="149">
        <f ca="1">'Economic Assumptions'!AW27</f>
        <v>91.535703124999969</v>
      </c>
      <c r="N54" s="121"/>
      <c r="O54" s="108">
        <f t="shared" si="1"/>
        <v>2035</v>
      </c>
      <c r="P54" s="149">
        <f>'Economic Assumptions'!D27</f>
        <v>4.1527016121733373</v>
      </c>
      <c r="Q54" s="149">
        <f>'Economic Assumptions'!N27</f>
        <v>4.1527016121733373</v>
      </c>
      <c r="R54" s="149">
        <f>'Economic Assumptions'!X27</f>
        <v>5.4831788277240188</v>
      </c>
      <c r="S54" s="149">
        <f>'Economic Assumptions'!AH27</f>
        <v>3.6153022270741473</v>
      </c>
      <c r="T54" s="149">
        <f>'Economic Assumptions'!AR27</f>
        <v>3.698444266677317</v>
      </c>
      <c r="U54" s="64"/>
      <c r="V54" s="108">
        <f t="shared" si="2"/>
        <v>2035</v>
      </c>
      <c r="W54" s="149">
        <f ca="1">'Economic Assumptions'!J27</f>
        <v>3.1827000000000001</v>
      </c>
      <c r="X54" s="149">
        <f ca="1">'Economic Assumptions'!T27</f>
        <v>3.0147694087370334</v>
      </c>
      <c r="Y54" s="149">
        <f ca="1">'Economic Assumptions'!AD27</f>
        <v>4.3905368000092091</v>
      </c>
      <c r="Z54" s="149">
        <f ca="1">'Economic Assumptions'!AN27</f>
        <v>2.8948750295844312</v>
      </c>
      <c r="AA54" s="149">
        <f ca="1">'Economic Assumptions'!AX27</f>
        <v>2.9614492187499999</v>
      </c>
      <c r="AB54" s="64"/>
      <c r="AC54" s="64"/>
      <c r="AD54" s="64"/>
      <c r="AE54" s="64"/>
      <c r="AF54" s="64"/>
      <c r="AG54" s="64"/>
      <c r="AH54" s="64"/>
      <c r="AI54" s="64"/>
    </row>
    <row r="55" spans="1:35">
      <c r="A55" s="108">
        <f>'Economic Assumptions'!A28</f>
        <v>2036</v>
      </c>
      <c r="B55" s="149">
        <f>'Economic Assumptions'!C28</f>
        <v>121.18967538192527</v>
      </c>
      <c r="C55" s="149">
        <f>'Economic Assumptions'!M28</f>
        <v>121.18967538192527</v>
      </c>
      <c r="D55" s="149">
        <f>'Economic Assumptions'!W28</f>
        <v>163.54723182609337</v>
      </c>
      <c r="E55" s="149">
        <f>'Economic Assumptions'!AG28</f>
        <v>104.42685602427504</v>
      </c>
      <c r="F55" s="149">
        <f>'Economic Assumptions'!AQ28</f>
        <v>117.1734388124586</v>
      </c>
      <c r="G55" s="121"/>
      <c r="H55" s="108">
        <f t="shared" si="0"/>
        <v>2036</v>
      </c>
      <c r="I55" s="149">
        <f ca="1">'Economic Assumptions'!I28</f>
        <v>90.176500000000019</v>
      </c>
      <c r="J55" s="149">
        <f ca="1">'Economic Assumptions'!S28</f>
        <v>85.005816983873558</v>
      </c>
      <c r="K55" s="149">
        <f ca="1">'Economic Assumptions'!AC28</f>
        <v>127.76283610921115</v>
      </c>
      <c r="L55" s="149">
        <f ca="1">'Economic Assumptions'!AM28</f>
        <v>81.578093023406311</v>
      </c>
      <c r="M55" s="149">
        <f ca="1">'Economic Assumptions'!AW28</f>
        <v>91.535703124999969</v>
      </c>
      <c r="N55" s="121"/>
      <c r="O55" s="108">
        <f t="shared" si="1"/>
        <v>2036</v>
      </c>
      <c r="P55" s="149">
        <f>'Economic Assumptions'!D28</f>
        <v>4.2772826605385372</v>
      </c>
      <c r="Q55" s="149">
        <f>'Economic Assumptions'!N28</f>
        <v>4.2772826605385372</v>
      </c>
      <c r="R55" s="149">
        <f>'Economic Assumptions'!X28</f>
        <v>5.7722552409209396</v>
      </c>
      <c r="S55" s="149">
        <f>'Economic Assumptions'!AH28</f>
        <v>3.6856537420332347</v>
      </c>
      <c r="T55" s="149">
        <f>'Economic Assumptions'!AR28</f>
        <v>3.7909053733442497</v>
      </c>
      <c r="U55" s="64"/>
      <c r="V55" s="108">
        <f t="shared" si="2"/>
        <v>2036</v>
      </c>
      <c r="W55" s="149">
        <f ca="1">'Economic Assumptions'!J28</f>
        <v>3.1826999999999996</v>
      </c>
      <c r="X55" s="149">
        <f ca="1">'Economic Assumptions'!T28</f>
        <v>3.000205305313183</v>
      </c>
      <c r="Y55" s="149">
        <f ca="1">'Economic Assumptions'!AD28</f>
        <v>4.5092765685603915</v>
      </c>
      <c r="Z55" s="149">
        <f ca="1">'Economic Assumptions'!AN28</f>
        <v>2.8792268125908094</v>
      </c>
      <c r="AA55" s="149">
        <f ca="1">'Economic Assumptions'!AX28</f>
        <v>2.9614492187499999</v>
      </c>
      <c r="AB55" s="64"/>
      <c r="AC55" s="64"/>
      <c r="AD55" s="64"/>
      <c r="AE55" s="64"/>
      <c r="AF55" s="64"/>
      <c r="AG55" s="64"/>
      <c r="AH55" s="64"/>
      <c r="AI55" s="64"/>
    </row>
    <row r="56" spans="1:35">
      <c r="A56" s="108">
        <f>'Economic Assumptions'!A29</f>
        <v>2037</v>
      </c>
      <c r="B56" s="149">
        <f>'Economic Assumptions'!C29</f>
        <v>124.82536564338304</v>
      </c>
      <c r="C56" s="149">
        <f>'Economic Assumptions'!M29</f>
        <v>124.82536564338304</v>
      </c>
      <c r="D56" s="149">
        <f>'Economic Assumptions'!W29</f>
        <v>172.08933904233393</v>
      </c>
      <c r="E56" s="149">
        <f>'Economic Assumptions'!AG29</f>
        <v>106.49614344536867</v>
      </c>
      <c r="F56" s="149">
        <f>'Economic Assumptions'!AQ29</f>
        <v>120.10277478277006</v>
      </c>
      <c r="G56" s="121"/>
      <c r="H56" s="108">
        <f t="shared" si="0"/>
        <v>2037</v>
      </c>
      <c r="I56" s="149">
        <f ca="1">'Economic Assumptions'!I29</f>
        <v>90.176500000000033</v>
      </c>
      <c r="J56" s="149">
        <f ca="1">'Economic Assumptions'!S29</f>
        <v>84.595160863178521</v>
      </c>
      <c r="K56" s="149">
        <f ca="1">'Economic Assumptions'!AC29</f>
        <v>131.15699181844693</v>
      </c>
      <c r="L56" s="149">
        <f ca="1">'Economic Assumptions'!AM29</f>
        <v>81.165480048269089</v>
      </c>
      <c r="M56" s="149">
        <f ca="1">'Economic Assumptions'!AW29</f>
        <v>91.535703124999969</v>
      </c>
      <c r="N56" s="121"/>
      <c r="O56" s="108">
        <f t="shared" si="1"/>
        <v>2037</v>
      </c>
      <c r="P56" s="149">
        <f>'Economic Assumptions'!D29</f>
        <v>4.4056011403546931</v>
      </c>
      <c r="Q56" s="149">
        <f>'Economic Assumptions'!N29</f>
        <v>4.4056011403546931</v>
      </c>
      <c r="R56" s="149">
        <f>'Economic Assumptions'!X29</f>
        <v>6.0737413779647236</v>
      </c>
      <c r="S56" s="149">
        <f>'Economic Assumptions'!AH29</f>
        <v>3.7586874157188919</v>
      </c>
      <c r="T56" s="149">
        <f>'Economic Assumptions'!AR29</f>
        <v>3.8856780076778556</v>
      </c>
      <c r="U56" s="64"/>
      <c r="V56" s="108">
        <f t="shared" si="2"/>
        <v>2037</v>
      </c>
      <c r="W56" s="149">
        <f ca="1">'Economic Assumptions'!J29</f>
        <v>3.1826999999999996</v>
      </c>
      <c r="X56" s="149">
        <f ca="1">'Economic Assumptions'!T29</f>
        <v>2.9857115598768877</v>
      </c>
      <c r="Y56" s="149">
        <f ca="1">'Economic Assumptions'!AD29</f>
        <v>4.6290702994745949</v>
      </c>
      <c r="Z56" s="149">
        <f ca="1">'Economic Assumptions'!AN29</f>
        <v>2.8646640017036131</v>
      </c>
      <c r="AA56" s="149">
        <f ca="1">'Economic Assumptions'!AX29</f>
        <v>2.9614492187499999</v>
      </c>
      <c r="AB56" s="64"/>
      <c r="AC56" s="64"/>
      <c r="AD56" s="64"/>
      <c r="AE56" s="64"/>
      <c r="AF56" s="64"/>
      <c r="AG56" s="64"/>
      <c r="AH56" s="64"/>
      <c r="AI56" s="64"/>
    </row>
    <row r="57" spans="1:35">
      <c r="A57" s="108">
        <f>'Economic Assumptions'!A30</f>
        <v>2038</v>
      </c>
      <c r="B57" s="149">
        <f>'Economic Assumptions'!C30</f>
        <v>128.57012661268453</v>
      </c>
      <c r="C57" s="149">
        <f>'Economic Assumptions'!M30</f>
        <v>128.57012661268453</v>
      </c>
      <c r="D57" s="149">
        <f>'Economic Assumptions'!W30</f>
        <v>180.99678018290544</v>
      </c>
      <c r="E57" s="149">
        <f>'Economic Assumptions'!AG30</f>
        <v>108.64346226298964</v>
      </c>
      <c r="F57" s="149">
        <f>'Economic Assumptions'!AQ30</f>
        <v>123.1053441523393</v>
      </c>
      <c r="G57" s="121"/>
      <c r="H57" s="108">
        <f t="shared" si="0"/>
        <v>2038</v>
      </c>
      <c r="I57" s="149">
        <f ca="1">'Economic Assumptions'!I30</f>
        <v>90.176500000000033</v>
      </c>
      <c r="J57" s="149">
        <f ca="1">'Economic Assumptions'!S30</f>
        <v>84.186488588477189</v>
      </c>
      <c r="K57" s="149">
        <f ca="1">'Economic Assumptions'!AC30</f>
        <v>134.58122107925146</v>
      </c>
      <c r="L57" s="149">
        <f ca="1">'Economic Assumptions'!AM30</f>
        <v>80.782485737343876</v>
      </c>
      <c r="M57" s="149">
        <f ca="1">'Economic Assumptions'!AW30</f>
        <v>91.535703124999969</v>
      </c>
      <c r="N57" s="121"/>
      <c r="O57" s="108">
        <f t="shared" si="1"/>
        <v>2038</v>
      </c>
      <c r="P57" s="149">
        <f>'Economic Assumptions'!D30</f>
        <v>4.5377691745653337</v>
      </c>
      <c r="Q57" s="149">
        <f>'Economic Assumptions'!N30</f>
        <v>4.5377691745653337</v>
      </c>
      <c r="R57" s="149">
        <f>'Economic Assumptions'!X30</f>
        <v>6.3881216535143057</v>
      </c>
      <c r="S57" s="149">
        <f>'Economic Assumptions'!AH30</f>
        <v>3.8344751386937492</v>
      </c>
      <c r="T57" s="149">
        <f>'Economic Assumptions'!AR30</f>
        <v>3.9828199578698018</v>
      </c>
      <c r="U57" s="64"/>
      <c r="V57" s="108">
        <f t="shared" si="2"/>
        <v>2038</v>
      </c>
      <c r="W57" s="149">
        <f ca="1">'Economic Assumptions'!J30</f>
        <v>3.1826999999999992</v>
      </c>
      <c r="X57" s="149">
        <f ca="1">'Economic Assumptions'!T30</f>
        <v>2.9712878325344874</v>
      </c>
      <c r="Y57" s="149">
        <f ca="1">'Economic Assumptions'!AD30</f>
        <v>4.7499254498559313</v>
      </c>
      <c r="Z57" s="149">
        <f ca="1">'Economic Assumptions'!AN30</f>
        <v>2.8511465554356636</v>
      </c>
      <c r="AA57" s="149">
        <f ca="1">'Economic Assumptions'!AX30</f>
        <v>2.9614492187499999</v>
      </c>
      <c r="AB57" s="64"/>
      <c r="AC57" s="64"/>
      <c r="AD57" s="64"/>
      <c r="AE57" s="64"/>
      <c r="AF57" s="64"/>
      <c r="AG57" s="64"/>
      <c r="AH57" s="64"/>
      <c r="AI57" s="64"/>
    </row>
    <row r="58" spans="1:35">
      <c r="A58" s="108">
        <f>'Economic Assumptions'!A31</f>
        <v>2039</v>
      </c>
      <c r="B58" s="149">
        <f>'Economic Assumptions'!C31</f>
        <v>132.42723041106507</v>
      </c>
      <c r="C58" s="149">
        <f>'Economic Assumptions'!M31</f>
        <v>132.42723041106507</v>
      </c>
      <c r="D58" s="149">
        <f>'Economic Assumptions'!W31</f>
        <v>190.28378738677316</v>
      </c>
      <c r="E58" s="149">
        <f>'Economic Assumptions'!AG31</f>
        <v>110.87091412742534</v>
      </c>
      <c r="F58" s="149">
        <f>'Economic Assumptions'!AQ31</f>
        <v>126.18297775614776</v>
      </c>
      <c r="G58" s="121"/>
      <c r="H58" s="108">
        <f t="shared" si="0"/>
        <v>2039</v>
      </c>
      <c r="I58" s="149">
        <f ca="1">'Economic Assumptions'!I31</f>
        <v>90.176500000000033</v>
      </c>
      <c r="J58" s="149">
        <f ca="1">'Economic Assumptions'!S31</f>
        <v>83.779790575972484</v>
      </c>
      <c r="K58" s="149">
        <f ca="1">'Economic Assumptions'!AC31</f>
        <v>138.03573652697122</v>
      </c>
      <c r="L58" s="149">
        <f ca="1">'Economic Assumptions'!AM31</f>
        <v>80.428020175414815</v>
      </c>
      <c r="M58" s="149">
        <f ca="1">'Economic Assumptions'!AW31</f>
        <v>91.535703124999969</v>
      </c>
      <c r="N58" s="121"/>
      <c r="O58" s="108">
        <f t="shared" si="1"/>
        <v>2039</v>
      </c>
      <c r="P58" s="149">
        <f>'Economic Assumptions'!D31</f>
        <v>4.6739022498022935</v>
      </c>
      <c r="Q58" s="149">
        <f>'Economic Assumptions'!N31</f>
        <v>4.6739022498022935</v>
      </c>
      <c r="R58" s="149">
        <f>'Economic Assumptions'!X31</f>
        <v>6.7158983783566946</v>
      </c>
      <c r="S58" s="149">
        <f>'Economic Assumptions'!AH31</f>
        <v>3.9130910868503026</v>
      </c>
      <c r="T58" s="149">
        <f>'Economic Assumptions'!AR31</f>
        <v>4.0823904568165466</v>
      </c>
      <c r="U58" s="64"/>
      <c r="V58" s="108">
        <f t="shared" si="2"/>
        <v>2039</v>
      </c>
      <c r="W58" s="149">
        <f ca="1">'Economic Assumptions'!J31</f>
        <v>3.1826999999999992</v>
      </c>
      <c r="X58" s="149">
        <f ca="1">'Economic Assumptions'!T31</f>
        <v>2.9569337850343209</v>
      </c>
      <c r="Y58" s="149">
        <f ca="1">'Economic Assumptions'!AD31</f>
        <v>4.8718495244813331</v>
      </c>
      <c r="Z58" s="149">
        <f ca="1">'Economic Assumptions'!AN31</f>
        <v>2.8386360061911087</v>
      </c>
      <c r="AA58" s="149">
        <f ca="1">'Economic Assumptions'!AX31</f>
        <v>2.9614492187500003</v>
      </c>
      <c r="AB58" s="64"/>
      <c r="AC58" s="64"/>
      <c r="AD58" s="64"/>
      <c r="AE58" s="64"/>
      <c r="AF58" s="64"/>
      <c r="AG58" s="64"/>
      <c r="AH58" s="64"/>
      <c r="AI58" s="64"/>
    </row>
    <row r="59" spans="1:35">
      <c r="A59" s="108">
        <f>'Economic Assumptions'!A32</f>
        <v>2040</v>
      </c>
      <c r="B59" s="149">
        <f>'Economic Assumptions'!C32</f>
        <v>136.40004732339702</v>
      </c>
      <c r="C59" s="149">
        <f>'Economic Assumptions'!M32</f>
        <v>136.40004732339702</v>
      </c>
      <c r="D59" s="149">
        <f>'Economic Assumptions'!W32</f>
        <v>199.96511792070831</v>
      </c>
      <c r="E59" s="149">
        <f>'Economic Assumptions'!AG32</f>
        <v>113.18066732784591</v>
      </c>
      <c r="F59" s="149">
        <f>'Economic Assumptions'!AQ32</f>
        <v>129.33755220005145</v>
      </c>
      <c r="G59" s="121"/>
      <c r="H59" s="108">
        <f t="shared" si="0"/>
        <v>2040</v>
      </c>
      <c r="I59" s="149">
        <f ca="1">'Economic Assumptions'!I32</f>
        <v>90.176500000000033</v>
      </c>
      <c r="J59" s="149">
        <f ca="1">'Economic Assumptions'!S32</f>
        <v>83.375057288165863</v>
      </c>
      <c r="K59" s="149">
        <f ca="1">'Economic Assumptions'!AC32</f>
        <v>141.52075215583281</v>
      </c>
      <c r="L59" s="149">
        <f ca="1">'Economic Assumptions'!AM32</f>
        <v>80.10103630217742</v>
      </c>
      <c r="M59" s="149">
        <f ca="1">'Economic Assumptions'!AW32</f>
        <v>91.535703124999969</v>
      </c>
      <c r="N59" s="121"/>
      <c r="O59" s="108">
        <f t="shared" si="1"/>
        <v>2040</v>
      </c>
      <c r="P59" s="149">
        <f>'Economic Assumptions'!D32</f>
        <v>4.8141193172963623</v>
      </c>
      <c r="Q59" s="149">
        <f>'Economic Assumptions'!N32</f>
        <v>4.8141193172963623</v>
      </c>
      <c r="R59" s="149">
        <f>'Economic Assumptions'!X32</f>
        <v>7.0575923972014643</v>
      </c>
      <c r="S59" s="149">
        <f>'Economic Assumptions'!AH32</f>
        <v>3.9946117880416168</v>
      </c>
      <c r="T59" s="149">
        <f>'Economic Assumptions'!AR32</f>
        <v>4.1844502182369601</v>
      </c>
      <c r="U59" s="64"/>
      <c r="V59" s="108">
        <f t="shared" si="2"/>
        <v>2040</v>
      </c>
      <c r="W59" s="149">
        <f ca="1">'Economic Assumptions'!J32</f>
        <v>3.1826999999999992</v>
      </c>
      <c r="X59" s="149">
        <f ca="1">'Economic Assumptions'!T32</f>
        <v>2.9426490807587933</v>
      </c>
      <c r="Y59" s="149">
        <f ca="1">'Economic Assumptions'!AD32</f>
        <v>4.9948500760882126</v>
      </c>
      <c r="Z59" s="149">
        <f ca="1">'Economic Assumptions'!AN32</f>
        <v>2.8270953989003766</v>
      </c>
      <c r="AA59" s="149">
        <f ca="1">'Economic Assumptions'!AX32</f>
        <v>2.9614492187500003</v>
      </c>
      <c r="AB59" s="64"/>
      <c r="AC59" s="64"/>
      <c r="AD59" s="64"/>
      <c r="AE59" s="64"/>
      <c r="AF59" s="64"/>
      <c r="AG59" s="64"/>
      <c r="AH59" s="64"/>
      <c r="AI59" s="64"/>
    </row>
    <row r="60" spans="1:35">
      <c r="A60" s="108">
        <f>'Economic Assumptions'!A33</f>
        <v>2041</v>
      </c>
      <c r="B60" s="149">
        <f>'Economic Assumptions'!C33</f>
        <v>140.49204874309893</v>
      </c>
      <c r="C60" s="149">
        <f>'Economic Assumptions'!M33</f>
        <v>140.49204874309893</v>
      </c>
      <c r="D60" s="149">
        <f>'Economic Assumptions'!W33</f>
        <v>210.05607287803147</v>
      </c>
      <c r="E60" s="149">
        <f>'Economic Assumptions'!AG33</f>
        <v>115.57495873763014</v>
      </c>
      <c r="F60" s="149">
        <f>'Economic Assumptions'!AQ33</f>
        <v>132.57099100505272</v>
      </c>
      <c r="G60" s="121"/>
      <c r="H60" s="108">
        <f t="shared" si="0"/>
        <v>2041</v>
      </c>
      <c r="I60" s="149">
        <f ca="1">'Economic Assumptions'!I33</f>
        <v>90.176500000000033</v>
      </c>
      <c r="J60" s="149">
        <f ca="1">'Economic Assumptions'!S33</f>
        <v>82.972279233633671</v>
      </c>
      <c r="K60" s="149">
        <f ca="1">'Economic Assumptions'!AC33</f>
        <v>145.0364833271407</v>
      </c>
      <c r="L60" s="149">
        <f ca="1">'Economic Assumptions'!AM33</f>
        <v>79.800528241420665</v>
      </c>
      <c r="M60" s="149">
        <f ca="1">'Economic Assumptions'!AW33</f>
        <v>91.535703124999984</v>
      </c>
      <c r="N60" s="121"/>
      <c r="O60" s="108">
        <f t="shared" si="1"/>
        <v>2041</v>
      </c>
      <c r="P60" s="149">
        <f>'Economic Assumptions'!D33</f>
        <v>4.9585428968152536</v>
      </c>
      <c r="Q60" s="149">
        <f>'Economic Assumptions'!N33</f>
        <v>4.9585428968152536</v>
      </c>
      <c r="R60" s="149">
        <f>'Economic Assumptions'!X33</f>
        <v>7.4137437486363993</v>
      </c>
      <c r="S60" s="149">
        <f>'Economic Assumptions'!AH33</f>
        <v>4.0791161907398834</v>
      </c>
      <c r="T60" s="149">
        <f>'Economic Assumptions'!AR33</f>
        <v>4.2890614736928834</v>
      </c>
      <c r="U60" s="64"/>
      <c r="V60" s="108">
        <f t="shared" si="2"/>
        <v>2041</v>
      </c>
      <c r="W60" s="149">
        <f ca="1">'Economic Assumptions'!J33</f>
        <v>3.1826999999999992</v>
      </c>
      <c r="X60" s="149">
        <f ca="1">'Economic Assumptions'!T33</f>
        <v>2.928433384716481</v>
      </c>
      <c r="Y60" s="149">
        <f ca="1">'Economic Assumptions'!AD33</f>
        <v>5.1189347056637855</v>
      </c>
      <c r="Z60" s="149">
        <f ca="1">'Economic Assumptions'!AN33</f>
        <v>2.8164892320501385</v>
      </c>
      <c r="AA60" s="149">
        <f ca="1">'Economic Assumptions'!AX33</f>
        <v>2.9614492187500003</v>
      </c>
      <c r="AB60" s="64"/>
      <c r="AC60" s="64"/>
      <c r="AD60" s="64"/>
      <c r="AE60" s="64"/>
      <c r="AF60" s="64"/>
      <c r="AG60" s="64"/>
      <c r="AH60" s="64"/>
      <c r="AI60" s="64"/>
    </row>
    <row r="61" spans="1:35">
      <c r="A61" s="108">
        <f>'Economic Assumptions'!A34</f>
        <v>2042</v>
      </c>
      <c r="B61" s="149">
        <f>'Economic Assumptions'!C34</f>
        <v>144.70681020539192</v>
      </c>
      <c r="C61" s="149">
        <f>'Economic Assumptions'!M34</f>
        <v>144.70681020539192</v>
      </c>
      <c r="D61" s="149">
        <f>'Economic Assumptions'!W34</f>
        <v>220.5725165266654</v>
      </c>
      <c r="E61" s="149">
        <f>'Economic Assumptions'!AG34</f>
        <v>118.05609581885867</v>
      </c>
      <c r="F61" s="149">
        <f>'Economic Assumptions'!AQ34</f>
        <v>135.88526578017903</v>
      </c>
      <c r="G61" s="121"/>
      <c r="H61" s="108">
        <f t="shared" si="0"/>
        <v>2042</v>
      </c>
      <c r="I61" s="149">
        <f ca="1">'Economic Assumptions'!I34</f>
        <v>90.176500000000033</v>
      </c>
      <c r="J61" s="149">
        <f ca="1">'Economic Assumptions'!S34</f>
        <v>82.57144696680453</v>
      </c>
      <c r="K61" s="149">
        <f ca="1">'Economic Assumptions'!AC34</f>
        <v>148.5831467775225</v>
      </c>
      <c r="L61" s="149">
        <f ca="1">'Economic Assumptions'!AM34</f>
        <v>79.525529695419493</v>
      </c>
      <c r="M61" s="149">
        <f ca="1">'Economic Assumptions'!AW34</f>
        <v>91.535703124999969</v>
      </c>
      <c r="N61" s="121"/>
      <c r="O61" s="108">
        <f t="shared" si="1"/>
        <v>2042</v>
      </c>
      <c r="P61" s="149">
        <f>'Economic Assumptions'!D34</f>
        <v>5.1072991837197117</v>
      </c>
      <c r="Q61" s="149">
        <f>'Economic Assumptions'!N34</f>
        <v>5.1072991837197117</v>
      </c>
      <c r="R61" s="149">
        <f>'Economic Assumptions'!X34</f>
        <v>7.7849123479999491</v>
      </c>
      <c r="S61" s="149">
        <f>'Economic Assumptions'!AH34</f>
        <v>4.1666857347832433</v>
      </c>
      <c r="T61" s="149">
        <f>'Economic Assumptions'!AR34</f>
        <v>4.3962880105352049</v>
      </c>
      <c r="U61" s="64"/>
      <c r="V61" s="108">
        <f t="shared" si="2"/>
        <v>2042</v>
      </c>
      <c r="W61" s="149">
        <f ca="1">'Economic Assumptions'!J34</f>
        <v>3.1826999999999996</v>
      </c>
      <c r="X61" s="149">
        <f ca="1">'Economic Assumptions'!T34</f>
        <v>2.9142863635342757</v>
      </c>
      <c r="Y61" s="149">
        <f ca="1">'Economic Assumptions'!AD34</f>
        <v>5.2441110627360841</v>
      </c>
      <c r="Z61" s="149">
        <f ca="1">'Economic Assumptions'!AN34</f>
        <v>2.8067834010148034</v>
      </c>
      <c r="AA61" s="149">
        <f ca="1">'Economic Assumptions'!AX34</f>
        <v>2.9614492187499999</v>
      </c>
      <c r="AB61" s="64"/>
      <c r="AC61" s="64"/>
      <c r="AD61" s="64"/>
      <c r="AE61" s="64"/>
      <c r="AF61" s="64"/>
      <c r="AG61" s="64"/>
      <c r="AH61" s="64"/>
      <c r="AI61" s="64"/>
    </row>
    <row r="62" spans="1:35">
      <c r="A62" s="108">
        <f>'Economic Assumptions'!A35</f>
        <v>2043</v>
      </c>
      <c r="B62" s="149">
        <f>'Economic Assumptions'!C35</f>
        <v>149.04801451155367</v>
      </c>
      <c r="C62" s="149">
        <f>'Economic Assumptions'!M35</f>
        <v>149.04801451155367</v>
      </c>
      <c r="D62" s="149">
        <f>'Economic Assumptions'!W35</f>
        <v>231.53089632862711</v>
      </c>
      <c r="E62" s="149">
        <f>'Economic Assumptions'!AG35</f>
        <v>120.62645868773754</v>
      </c>
      <c r="F62" s="149">
        <f>'Economic Assumptions'!AQ35</f>
        <v>139.2823974246835</v>
      </c>
      <c r="G62" s="121"/>
      <c r="H62" s="108">
        <f t="shared" si="0"/>
        <v>2043</v>
      </c>
      <c r="I62" s="149">
        <f ca="1">'Economic Assumptions'!I35</f>
        <v>90.176500000000033</v>
      </c>
      <c r="J62" s="149">
        <f ca="1">'Economic Assumptions'!S35</f>
        <v>82.172551087737844</v>
      </c>
      <c r="K62" s="149">
        <f ca="1">'Economic Assumptions'!AC35</f>
        <v>152.16096062722204</v>
      </c>
      <c r="L62" s="149">
        <f ca="1">'Economic Assumptions'!AM35</f>
        <v>79.275112401992814</v>
      </c>
      <c r="M62" s="149">
        <f ca="1">'Economic Assumptions'!AW35</f>
        <v>91.535703124999984</v>
      </c>
      <c r="N62" s="121"/>
      <c r="O62" s="108">
        <f t="shared" si="1"/>
        <v>2043</v>
      </c>
      <c r="P62" s="149">
        <f>'Economic Assumptions'!D35</f>
        <v>5.2605181592313031</v>
      </c>
      <c r="Q62" s="149">
        <f>'Economic Assumptions'!N35</f>
        <v>5.2605181592313031</v>
      </c>
      <c r="R62" s="149">
        <f>'Economic Assumptions'!X35</f>
        <v>8.171678693951538</v>
      </c>
      <c r="S62" s="149">
        <f>'Economic Assumptions'!AH35</f>
        <v>4.2574044242730862</v>
      </c>
      <c r="T62" s="149">
        <f>'Economic Assumptions'!AR35</f>
        <v>4.5061952107985848</v>
      </c>
      <c r="U62" s="64"/>
      <c r="V62" s="108">
        <f t="shared" si="2"/>
        <v>2043</v>
      </c>
      <c r="W62" s="149">
        <f ca="1">'Economic Assumptions'!J35</f>
        <v>3.1826999999999996</v>
      </c>
      <c r="X62" s="149">
        <f ca="1">'Economic Assumptions'!T35</f>
        <v>2.9002076854495695</v>
      </c>
      <c r="Y62" s="149">
        <f ca="1">'Economic Assumptions'!AD35</f>
        <v>5.3703868456666557</v>
      </c>
      <c r="Z62" s="149">
        <f ca="1">'Economic Assumptions'!AN35</f>
        <v>2.797945143599744</v>
      </c>
      <c r="AA62" s="149">
        <f ca="1">'Economic Assumptions'!AX35</f>
        <v>2.9614492187500003</v>
      </c>
      <c r="AB62" s="64"/>
      <c r="AC62" s="64"/>
      <c r="AD62" s="64"/>
      <c r="AE62" s="64"/>
      <c r="AF62" s="64"/>
      <c r="AG62" s="64"/>
      <c r="AH62" s="64"/>
      <c r="AI62" s="64"/>
    </row>
    <row r="63" spans="1:35">
      <c r="A63" s="108">
        <f>'Economic Assumptions'!A36</f>
        <v>2044</v>
      </c>
      <c r="B63" s="149">
        <f>'Economic Assumptions'!C36</f>
        <v>153.51945494690028</v>
      </c>
      <c r="C63" s="149">
        <f>'Economic Assumptions'!M36</f>
        <v>153.51945494690028</v>
      </c>
      <c r="D63" s="149">
        <f>'Economic Assumptions'!W36</f>
        <v>242.94826365383253</v>
      </c>
      <c r="E63" s="149">
        <f>'Economic Assumptions'!AG36</f>
        <v>123.28850224276809</v>
      </c>
      <c r="F63" s="149">
        <f>'Economic Assumptions'!AQ36</f>
        <v>142.76445736030058</v>
      </c>
      <c r="G63" s="121"/>
      <c r="H63" s="108">
        <f t="shared" si="0"/>
        <v>2044</v>
      </c>
      <c r="I63" s="149">
        <f ca="1">'Economic Assumptions'!I36</f>
        <v>90.176500000000033</v>
      </c>
      <c r="J63" s="149">
        <f ca="1">'Economic Assumptions'!S36</f>
        <v>81.775582241903379</v>
      </c>
      <c r="K63" s="149">
        <f ca="1">'Economic Assumptions'!AC36</f>
        <v>155.77014438844094</v>
      </c>
      <c r="L63" s="149">
        <f ca="1">'Economic Assumptions'!AM36</f>
        <v>79.048384651781618</v>
      </c>
      <c r="M63" s="149">
        <f ca="1">'Economic Assumptions'!AW36</f>
        <v>91.535703124999998</v>
      </c>
      <c r="N63" s="121"/>
      <c r="O63" s="108">
        <f t="shared" si="1"/>
        <v>2044</v>
      </c>
      <c r="P63" s="149">
        <f>'Economic Assumptions'!D36</f>
        <v>5.4183337040082424</v>
      </c>
      <c r="Q63" s="149">
        <f>'Economic Assumptions'!N36</f>
        <v>5.4183337040082424</v>
      </c>
      <c r="R63" s="149">
        <f>'Economic Assumptions'!X36</f>
        <v>8.5746445995470246</v>
      </c>
      <c r="S63" s="149">
        <f>'Economic Assumptions'!AH36</f>
        <v>4.351358902685929</v>
      </c>
      <c r="T63" s="149">
        <f>'Economic Assumptions'!AR36</f>
        <v>4.6188500910685493</v>
      </c>
      <c r="U63" s="64"/>
      <c r="V63" s="108">
        <f t="shared" si="2"/>
        <v>2044</v>
      </c>
      <c r="W63" s="149">
        <f ca="1">'Economic Assumptions'!J36</f>
        <v>3.1826999999999996</v>
      </c>
      <c r="X63" s="149">
        <f ca="1">'Economic Assumptions'!T36</f>
        <v>2.8861970203024705</v>
      </c>
      <c r="Y63" s="149">
        <f ca="1">'Economic Assumptions'!AD36</f>
        <v>5.4977698019449708</v>
      </c>
      <c r="Z63" s="149">
        <f ca="1">'Economic Assumptions'!AN36</f>
        <v>2.7899429877099373</v>
      </c>
      <c r="AA63" s="149">
        <f ca="1">'Economic Assumptions'!AX36</f>
        <v>2.9614492187500008</v>
      </c>
      <c r="AB63" s="64"/>
      <c r="AC63" s="64"/>
      <c r="AD63" s="64"/>
      <c r="AE63" s="64"/>
      <c r="AF63" s="64"/>
      <c r="AG63" s="64"/>
      <c r="AH63" s="64"/>
      <c r="AI63" s="64"/>
    </row>
    <row r="64" spans="1:35">
      <c r="A64" s="108">
        <f>'Economic Assumptions'!A37</f>
        <v>2045</v>
      </c>
      <c r="B64" s="149">
        <f>'Economic Assumptions'!C37</f>
        <v>158.1250385953073</v>
      </c>
      <c r="C64" s="149">
        <f>'Economic Assumptions'!M37</f>
        <v>158.1250385953073</v>
      </c>
      <c r="D64" s="149">
        <f>'Economic Assumptions'!W37</f>
        <v>254.84229521185452</v>
      </c>
      <c r="E64" s="149">
        <f>'Economic Assumptions'!AG37</f>
        <v>126.04475835753358</v>
      </c>
      <c r="F64" s="149">
        <f>'Economic Assumptions'!AQ37</f>
        <v>146.33356879430809</v>
      </c>
      <c r="G64" s="121"/>
      <c r="H64" s="108">
        <f t="shared" si="0"/>
        <v>2045</v>
      </c>
      <c r="I64" s="149">
        <f ca="1">'Economic Assumptions'!I37</f>
        <v>90.176500000000033</v>
      </c>
      <c r="J64" s="149">
        <f ca="1">'Economic Assumptions'!S37</f>
        <v>81.38053111996183</v>
      </c>
      <c r="K64" s="149">
        <f ca="1">'Economic Assumptions'!AC37</f>
        <v>159.41091897372817</v>
      </c>
      <c r="L64" s="149">
        <f ca="1">'Economic Assumptions'!AM37</f>
        <v>78.844489863397172</v>
      </c>
      <c r="M64" s="149">
        <f ca="1">'Economic Assumptions'!AW37</f>
        <v>91.535703124999998</v>
      </c>
      <c r="N64" s="121"/>
      <c r="O64" s="108">
        <f t="shared" si="1"/>
        <v>2045</v>
      </c>
      <c r="P64" s="149">
        <f>'Economic Assumptions'!D37</f>
        <v>5.5808837151284898</v>
      </c>
      <c r="Q64" s="149">
        <f>'Economic Assumptions'!N37</f>
        <v>5.5808837151284898</v>
      </c>
      <c r="R64" s="149">
        <f>'Economic Assumptions'!X37</f>
        <v>8.9944339486536826</v>
      </c>
      <c r="S64" s="149">
        <f>'Economic Assumptions'!AH37</f>
        <v>4.4486385302658871</v>
      </c>
      <c r="T64" s="149">
        <f>'Economic Assumptions'!AR37</f>
        <v>4.7343213433452629</v>
      </c>
      <c r="U64" s="64"/>
      <c r="V64" s="108">
        <f t="shared" si="2"/>
        <v>2045</v>
      </c>
      <c r="W64" s="149">
        <f ca="1">'Economic Assumptions'!J37</f>
        <v>3.1826999999999996</v>
      </c>
      <c r="X64" s="149">
        <f ca="1">'Economic Assumptions'!T37</f>
        <v>2.8722540395280629</v>
      </c>
      <c r="Y64" s="149">
        <f ca="1">'Economic Assumptions'!AD37</f>
        <v>5.6262677284845193</v>
      </c>
      <c r="Z64" s="149">
        <f ca="1">'Economic Assumptions'!AN37</f>
        <v>2.782746701061074</v>
      </c>
      <c r="AA64" s="149">
        <f ca="1">'Economic Assumptions'!AX37</f>
        <v>2.9614492187500008</v>
      </c>
      <c r="AB64" s="64"/>
      <c r="AC64" s="64"/>
      <c r="AD64" s="64"/>
      <c r="AE64" s="64"/>
      <c r="AF64" s="64"/>
      <c r="AG64" s="64"/>
      <c r="AH64" s="64"/>
      <c r="AI64" s="64"/>
    </row>
    <row r="65" spans="1:35">
      <c r="A65" s="108">
        <f>'Economic Assumptions'!A38</f>
        <v>2046</v>
      </c>
      <c r="B65" s="149">
        <f>'Economic Assumptions'!C38</f>
        <v>162.86878975316654</v>
      </c>
      <c r="C65" s="149">
        <f>'Economic Assumptions'!M38</f>
        <v>162.86878975316654</v>
      </c>
      <c r="D65" s="149">
        <f>'Economic Assumptions'!W38</f>
        <v>267.23131522606946</v>
      </c>
      <c r="E65" s="149">
        <f>'Economic Assumptions'!AG38</f>
        <v>128.89783814002982</v>
      </c>
      <c r="F65" s="149">
        <f>'Economic Assumptions'!AQ38</f>
        <v>149.99190801416577</v>
      </c>
      <c r="G65" s="121"/>
      <c r="H65" s="108">
        <f t="shared" si="0"/>
        <v>2046</v>
      </c>
      <c r="I65" s="149">
        <f ca="1">'Economic Assumptions'!I38</f>
        <v>90.176500000000047</v>
      </c>
      <c r="J65" s="149">
        <f ca="1">'Economic Assumptions'!S38</f>
        <v>80.987388457546572</v>
      </c>
      <c r="K65" s="149">
        <f ca="1">'Economic Assumptions'!AC38</f>
        <v>163.08350670441888</v>
      </c>
      <c r="L65" s="149">
        <f ca="1">'Economic Assumptions'!AM38</f>
        <v>78.662605214180985</v>
      </c>
      <c r="M65" s="149">
        <f ca="1">'Economic Assumptions'!AW38</f>
        <v>91.535703124999998</v>
      </c>
      <c r="N65" s="121"/>
      <c r="O65" s="108">
        <f t="shared" si="1"/>
        <v>2046</v>
      </c>
      <c r="P65" s="149">
        <f>'Economic Assumptions'!D38</f>
        <v>5.7483102265823449</v>
      </c>
      <c r="Q65" s="149">
        <f>'Economic Assumptions'!N38</f>
        <v>5.7483102265823449</v>
      </c>
      <c r="R65" s="149">
        <f>'Economic Assumptions'!X38</f>
        <v>9.4316934785671478</v>
      </c>
      <c r="S65" s="149">
        <f>'Economic Assumptions'!AH38</f>
        <v>4.5493354637657539</v>
      </c>
      <c r="T65" s="149">
        <f>'Economic Assumptions'!AR38</f>
        <v>4.8526793769288936</v>
      </c>
      <c r="U65" s="64"/>
      <c r="V65" s="108">
        <f t="shared" si="2"/>
        <v>2046</v>
      </c>
      <c r="W65" s="149">
        <f ca="1">'Economic Assumptions'!J38</f>
        <v>3.1827000000000001</v>
      </c>
      <c r="X65" s="149">
        <f ca="1">'Economic Assumptions'!T38</f>
        <v>2.8583784161487005</v>
      </c>
      <c r="Y65" s="149">
        <f ca="1">'Economic Assumptions'!AD38</f>
        <v>5.7558884719206604</v>
      </c>
      <c r="Z65" s="149">
        <f ca="1">'Economic Assumptions'!AN38</f>
        <v>2.7763272428534438</v>
      </c>
      <c r="AA65" s="149">
        <f ca="1">'Economic Assumptions'!AX38</f>
        <v>2.9614492187500003</v>
      </c>
      <c r="AB65" s="64"/>
      <c r="AC65" s="64"/>
      <c r="AD65" s="64"/>
      <c r="AE65" s="64"/>
      <c r="AF65" s="64"/>
      <c r="AG65" s="64"/>
      <c r="AH65" s="64"/>
      <c r="AI65" s="64"/>
    </row>
    <row r="66" spans="1:35">
      <c r="A66" s="108">
        <f>'Economic Assumptions'!A39</f>
        <v>2047</v>
      </c>
      <c r="B66" s="149">
        <f>'Economic Assumptions'!C39</f>
        <v>167.75485344576154</v>
      </c>
      <c r="C66" s="149">
        <f>'Economic Assumptions'!M39</f>
        <v>167.75485344576154</v>
      </c>
      <c r="D66" s="149">
        <f>'Economic Assumptions'!W39</f>
        <v>280.13431837544658</v>
      </c>
      <c r="E66" s="149">
        <f>'Economic Assumptions'!AG39</f>
        <v>131.85043426052437</v>
      </c>
      <c r="F66" s="149">
        <f>'Economic Assumptions'!AQ39</f>
        <v>153.7417057145199</v>
      </c>
      <c r="G66" s="121"/>
      <c r="H66" s="108">
        <f t="shared" si="0"/>
        <v>2047</v>
      </c>
      <c r="I66" s="149">
        <f ca="1">'Economic Assumptions'!I39</f>
        <v>90.176500000000061</v>
      </c>
      <c r="J66" s="149">
        <f ca="1">'Economic Assumptions'!S39</f>
        <v>80.596145035046348</v>
      </c>
      <c r="K66" s="149">
        <f ca="1">'Economic Assumptions'!AC39</f>
        <v>166.7881313191217</v>
      </c>
      <c r="L66" s="149">
        <f ca="1">'Economic Assumptions'!AM39</f>
        <v>78.501940324406377</v>
      </c>
      <c r="M66" s="149">
        <f ca="1">'Economic Assumptions'!AW39</f>
        <v>91.535703124999998</v>
      </c>
      <c r="N66" s="121"/>
      <c r="O66" s="108">
        <f t="shared" si="1"/>
        <v>2047</v>
      </c>
      <c r="P66" s="149">
        <f>'Economic Assumptions'!D39</f>
        <v>5.9207595333798153</v>
      </c>
      <c r="Q66" s="149">
        <f>'Economic Assumptions'!N39</f>
        <v>5.9207595333798153</v>
      </c>
      <c r="R66" s="149">
        <f>'Economic Assumptions'!X39</f>
        <v>9.8870935897216334</v>
      </c>
      <c r="S66" s="149">
        <f>'Economic Assumptions'!AH39</f>
        <v>4.6535447386067377</v>
      </c>
      <c r="T66" s="149">
        <f>'Economic Assumptions'!AR39</f>
        <v>4.9739963613521159</v>
      </c>
      <c r="U66" s="64"/>
      <c r="V66" s="108">
        <f t="shared" si="2"/>
        <v>2047</v>
      </c>
      <c r="W66" s="149">
        <f ca="1">'Economic Assumptions'!J39</f>
        <v>3.1827000000000001</v>
      </c>
      <c r="X66" s="149">
        <f ca="1">'Economic Assumptions'!T39</f>
        <v>2.84456982476634</v>
      </c>
      <c r="Y66" s="149">
        <f ca="1">'Economic Assumptions'!AD39</f>
        <v>5.8866399289101716</v>
      </c>
      <c r="Z66" s="149">
        <f ca="1">'Economic Assumptions'!AN39</f>
        <v>2.7706567173319869</v>
      </c>
      <c r="AA66" s="149">
        <f ca="1">'Economic Assumptions'!AX39</f>
        <v>2.9614492187500008</v>
      </c>
      <c r="AB66" s="64"/>
      <c r="AC66" s="64"/>
      <c r="AD66" s="64"/>
      <c r="AE66" s="64"/>
      <c r="AF66" s="64"/>
      <c r="AG66" s="64"/>
      <c r="AH66" s="64"/>
      <c r="AI66" s="64"/>
    </row>
    <row r="67" spans="1:35">
      <c r="A67" s="108">
        <f>'Economic Assumptions'!A40</f>
        <v>2048</v>
      </c>
      <c r="B67" s="149">
        <f>'Economic Assumptions'!C40</f>
        <v>172.7874990491344</v>
      </c>
      <c r="C67" s="149">
        <f>'Economic Assumptions'!M40</f>
        <v>172.7874990491344</v>
      </c>
      <c r="D67" s="149">
        <f>'Economic Assumptions'!W40</f>
        <v>293.57099353008289</v>
      </c>
      <c r="E67" s="149">
        <f>'Economic Assumptions'!AG40</f>
        <v>134.90532334998935</v>
      </c>
      <c r="F67" s="149">
        <f>'Economic Assumptions'!AQ40</f>
        <v>157.58524835738288</v>
      </c>
      <c r="G67" s="121"/>
      <c r="H67" s="108">
        <f t="shared" si="0"/>
        <v>2048</v>
      </c>
      <c r="I67" s="149">
        <f ca="1">'Economic Assumptions'!I40</f>
        <v>90.176500000000061</v>
      </c>
      <c r="J67" s="149">
        <f ca="1">'Economic Assumptions'!S40</f>
        <v>80.206791677389134</v>
      </c>
      <c r="K67" s="149">
        <f ca="1">'Economic Assumptions'!AC40</f>
        <v>170.5250179822558</v>
      </c>
      <c r="L67" s="149">
        <f ca="1">'Economic Assumptions'!AM40</f>
        <v>78.361735992836159</v>
      </c>
      <c r="M67" s="149">
        <f ca="1">'Economic Assumptions'!AW40</f>
        <v>91.535703124999998</v>
      </c>
      <c r="N67" s="121"/>
      <c r="O67" s="108">
        <f t="shared" si="1"/>
        <v>2048</v>
      </c>
      <c r="P67" s="149">
        <f>'Economic Assumptions'!D40</f>
        <v>6.0983823193812103</v>
      </c>
      <c r="Q67" s="149">
        <f>'Economic Assumptions'!N40</f>
        <v>6.0983823193812103</v>
      </c>
      <c r="R67" s="149">
        <f>'Economic Assumptions'!X40</f>
        <v>10.361329183414679</v>
      </c>
      <c r="S67" s="149">
        <f>'Economic Assumptions'!AH40</f>
        <v>4.7613643535290313</v>
      </c>
      <c r="T67" s="149">
        <f>'Economic Assumptions'!AR40</f>
        <v>5.0983462703859184</v>
      </c>
      <c r="U67" s="64"/>
      <c r="V67" s="108">
        <f t="shared" si="2"/>
        <v>2048</v>
      </c>
      <c r="W67" s="149">
        <f ca="1">'Economic Assumptions'!J40</f>
        <v>3.1827000000000005</v>
      </c>
      <c r="X67" s="149">
        <f ca="1">'Economic Assumptions'!T40</f>
        <v>2.8308279415549089</v>
      </c>
      <c r="Y67" s="149">
        <f ca="1">'Economic Assumptions'!AD40</f>
        <v>6.0185300464325513</v>
      </c>
      <c r="Z67" s="149">
        <f ca="1">'Economic Assumptions'!AN40</f>
        <v>2.7657083291589206</v>
      </c>
      <c r="AA67" s="149">
        <f ca="1">'Economic Assumptions'!AX40</f>
        <v>2.9614492187500008</v>
      </c>
      <c r="AB67" s="64"/>
      <c r="AC67" s="64"/>
      <c r="AD67" s="64"/>
      <c r="AE67" s="64"/>
      <c r="AF67" s="64"/>
      <c r="AG67" s="64"/>
      <c r="AH67" s="64"/>
      <c r="AI67" s="64"/>
    </row>
    <row r="68" spans="1:35">
      <c r="A68" s="108">
        <f>'Economic Assumptions'!A41</f>
        <v>2049</v>
      </c>
      <c r="B68" s="149">
        <f>'Economic Assumptions'!C41</f>
        <v>177.97112402060844</v>
      </c>
      <c r="C68" s="149">
        <f>'Economic Assumptions'!M41</f>
        <v>177.97112402060844</v>
      </c>
      <c r="D68" s="149">
        <f>'Economic Assumptions'!W41</f>
        <v>307.56174830745942</v>
      </c>
      <c r="E68" s="149">
        <f>'Economic Assumptions'!AG41</f>
        <v>138.06536847121356</v>
      </c>
      <c r="F68" s="149">
        <f>'Economic Assumptions'!AQ41</f>
        <v>161.52487956631745</v>
      </c>
      <c r="G68" s="121"/>
      <c r="H68" s="108">
        <f t="shared" si="0"/>
        <v>2049</v>
      </c>
      <c r="I68" s="149">
        <f ca="1">'Economic Assumptions'!I41</f>
        <v>90.176500000000061</v>
      </c>
      <c r="J68" s="149">
        <f ca="1">'Economic Assumptions'!S41</f>
        <v>79.819319253826876</v>
      </c>
      <c r="K68" s="149">
        <f ca="1">'Economic Assumptions'!AC41</f>
        <v>174.29439329263712</v>
      </c>
      <c r="L68" s="149">
        <f ca="1">'Economic Assumptions'!AM41</f>
        <v>78.241262981632374</v>
      </c>
      <c r="M68" s="149">
        <f ca="1">'Economic Assumptions'!AW41</f>
        <v>91.535703124999998</v>
      </c>
      <c r="N68" s="121"/>
      <c r="O68" s="108">
        <f t="shared" si="1"/>
        <v>2049</v>
      </c>
      <c r="P68" s="149">
        <f>'Economic Assumptions'!D41</f>
        <v>6.2813337889626464</v>
      </c>
      <c r="Q68" s="149">
        <f>'Economic Assumptions'!N41</f>
        <v>6.2813337889626464</v>
      </c>
      <c r="R68" s="149">
        <f>'Economic Assumptions'!X41</f>
        <v>10.855120528498555</v>
      </c>
      <c r="S68" s="149">
        <f>'Economic Assumptions'!AH41</f>
        <v>4.8728953578075318</v>
      </c>
      <c r="T68" s="149">
        <f>'Economic Assumptions'!AR41</f>
        <v>5.2258049271455658</v>
      </c>
      <c r="U68" s="64"/>
      <c r="V68" s="108">
        <f t="shared" si="2"/>
        <v>2049</v>
      </c>
      <c r="W68" s="149">
        <f ca="1">'Economic Assumptions'!J41</f>
        <v>3.1827000000000001</v>
      </c>
      <c r="X68" s="149">
        <f ca="1">'Economic Assumptions'!T41</f>
        <v>2.8171524442527112</v>
      </c>
      <c r="Y68" s="149">
        <f ca="1">'Economic Assumptions'!AD41</f>
        <v>6.1515668220930673</v>
      </c>
      <c r="Z68" s="149">
        <f ca="1">'Economic Assumptions'!AN41</f>
        <v>2.761456340528198</v>
      </c>
      <c r="AA68" s="149">
        <f ca="1">'Economic Assumptions'!AX41</f>
        <v>2.9614492187500008</v>
      </c>
      <c r="AB68" s="64"/>
      <c r="AC68" s="64"/>
      <c r="AD68" s="64"/>
      <c r="AE68" s="64"/>
      <c r="AF68" s="64"/>
      <c r="AG68" s="64"/>
      <c r="AH68" s="64"/>
      <c r="AI68" s="64"/>
    </row>
    <row r="69" spans="1:35">
      <c r="A69" s="108">
        <f>'Economic Assumptions'!A42</f>
        <v>2050</v>
      </c>
      <c r="B69" s="149">
        <f>'Economic Assumptions'!C42</f>
        <v>183.31025774122671</v>
      </c>
      <c r="C69" s="149">
        <f>'Economic Assumptions'!M42</f>
        <v>183.31025774122671</v>
      </c>
      <c r="D69" s="149">
        <f>'Economic Assumptions'!W42</f>
        <v>322.12773447730149</v>
      </c>
      <c r="E69" s="149">
        <f>'Economic Assumptions'!AG42</f>
        <v>141.33352166476362</v>
      </c>
      <c r="F69" s="149">
        <f>'Economic Assumptions'!AQ42</f>
        <v>165.56300155547538</v>
      </c>
      <c r="G69" s="121"/>
      <c r="H69" s="108">
        <f t="shared" si="0"/>
        <v>2050</v>
      </c>
      <c r="I69" s="149">
        <f ca="1">'Economic Assumptions'!I42</f>
        <v>90.176500000000061</v>
      </c>
      <c r="J69" s="149">
        <f ca="1">'Economic Assumptions'!S42</f>
        <v>79.433718677721444</v>
      </c>
      <c r="K69" s="149">
        <f ca="1">'Economic Assumptions'!AC42</f>
        <v>178.09648529211478</v>
      </c>
      <c r="L69" s="149">
        <f ca="1">'Economic Assumptions'!AM42</f>
        <v>78.139820848691983</v>
      </c>
      <c r="M69" s="149">
        <f ca="1">'Economic Assumptions'!AW42</f>
        <v>91.535703125000012</v>
      </c>
      <c r="N69" s="121"/>
      <c r="O69" s="108">
        <f t="shared" si="1"/>
        <v>2050</v>
      </c>
      <c r="P69" s="149">
        <f>'Economic Assumptions'!D42</f>
        <v>6.4697738026315257</v>
      </c>
      <c r="Q69" s="149">
        <f>'Economic Assumptions'!N42</f>
        <v>6.4697738026315257</v>
      </c>
      <c r="R69" s="149">
        <f>'Economic Assumptions'!X42</f>
        <v>11.369214158022391</v>
      </c>
      <c r="S69" s="149">
        <f>'Economic Assumptions'!AH42</f>
        <v>4.9882419411092984</v>
      </c>
      <c r="T69" s="149">
        <f>'Economic Assumptions'!AR42</f>
        <v>5.3564500503242041</v>
      </c>
      <c r="U69" s="64"/>
      <c r="V69" s="108">
        <f t="shared" si="2"/>
        <v>2050</v>
      </c>
      <c r="W69" s="149">
        <f ca="1">'Economic Assumptions'!J42</f>
        <v>3.1826999999999996</v>
      </c>
      <c r="X69" s="149">
        <f ca="1">'Economic Assumptions'!T42</f>
        <v>2.8035430121548721</v>
      </c>
      <c r="Y69" s="149">
        <f ca="1">'Economic Assumptions'!AD42</f>
        <v>6.2857583044275724</v>
      </c>
      <c r="Z69" s="149">
        <f ca="1">'Economic Assumptions'!AN42</f>
        <v>2.7578760299538319</v>
      </c>
      <c r="AA69" s="149">
        <f ca="1">'Economic Assumptions'!AX42</f>
        <v>2.9614492187500003</v>
      </c>
      <c r="AB69" s="64"/>
      <c r="AC69" s="64"/>
      <c r="AD69" s="64"/>
      <c r="AE69" s="64"/>
      <c r="AF69" s="64"/>
      <c r="AG69" s="64"/>
      <c r="AH69" s="64"/>
      <c r="AI69" s="64"/>
    </row>
    <row r="70" spans="1:35">
      <c r="A70" s="108">
        <f>'Economic Assumptions'!A43</f>
        <v>2051</v>
      </c>
      <c r="B70" s="149">
        <f>'Economic Assumptions'!C43</f>
        <v>188.80956547346352</v>
      </c>
      <c r="C70" s="149">
        <f>'Economic Assumptions'!M43</f>
        <v>188.80956547346352</v>
      </c>
      <c r="D70" s="149">
        <f>'Economic Assumptions'!W43</f>
        <v>337.29087424385739</v>
      </c>
      <c r="E70" s="149">
        <f>'Economic Assumptions'!AG43</f>
        <v>144.71282657202897</v>
      </c>
      <c r="F70" s="149">
        <f>'Economic Assumptions'!AQ43</f>
        <v>169.70207659436224</v>
      </c>
      <c r="G70" s="121"/>
      <c r="H70" s="108">
        <f t="shared" si="0"/>
        <v>2051</v>
      </c>
      <c r="I70" s="149">
        <f ca="1">'Economic Assumptions'!I43</f>
        <v>90.176500000000075</v>
      </c>
      <c r="J70" s="149">
        <f ca="1">'Economic Assumptions'!S43</f>
        <v>79.049980906331498</v>
      </c>
      <c r="K70" s="149">
        <f ca="1">'Economic Assumptions'!AC43</f>
        <v>181.9315234742574</v>
      </c>
      <c r="L70" s="149">
        <f ca="1">'Economic Assumptions'!AM43</f>
        <v>78.056736825558218</v>
      </c>
      <c r="M70" s="149">
        <f ca="1">'Economic Assumptions'!AW43</f>
        <v>91.535703124999998</v>
      </c>
      <c r="N70" s="121"/>
      <c r="O70" s="108">
        <f t="shared" si="1"/>
        <v>2051</v>
      </c>
      <c r="P70" s="149">
        <f>'Economic Assumptions'!D43</f>
        <v>6.6638670167104719</v>
      </c>
      <c r="Q70" s="149">
        <f>'Economic Assumptions'!N43</f>
        <v>6.6638670167104719</v>
      </c>
      <c r="R70" s="149">
        <f>'Economic Assumptions'!X43</f>
        <v>11.904383796842009</v>
      </c>
      <c r="S70" s="149">
        <f>'Economic Assumptions'!AH43</f>
        <v>5.1075115260716046</v>
      </c>
      <c r="T70" s="149">
        <f>'Economic Assumptions'!AR43</f>
        <v>5.4903613015823085</v>
      </c>
      <c r="U70" s="64"/>
      <c r="V70" s="108">
        <f t="shared" si="2"/>
        <v>2051</v>
      </c>
      <c r="W70" s="149">
        <f ca="1">'Economic Assumptions'!J43</f>
        <v>3.1827000000000001</v>
      </c>
      <c r="X70" s="149">
        <f ca="1">'Economic Assumptions'!T43</f>
        <v>2.7899993261058151</v>
      </c>
      <c r="Y70" s="149">
        <f ca="1">'Economic Assumptions'!AD43</f>
        <v>6.4211125932090756</v>
      </c>
      <c r="Z70" s="149">
        <f ca="1">'Economic Assumptions'!AN43</f>
        <v>2.754943652666757</v>
      </c>
      <c r="AA70" s="149">
        <f ca="1">'Economic Assumptions'!AX43</f>
        <v>2.9614492187500003</v>
      </c>
      <c r="AB70" s="64"/>
      <c r="AC70" s="64"/>
      <c r="AD70" s="64"/>
      <c r="AE70" s="64"/>
      <c r="AF70" s="64"/>
      <c r="AG70" s="64"/>
      <c r="AH70" s="64"/>
      <c r="AI70" s="64"/>
    </row>
    <row r="71" spans="1:35">
      <c r="A71" s="108">
        <f>'Economic Assumptions'!A44</f>
        <v>2052</v>
      </c>
      <c r="B71" s="149">
        <f>'Economic Assumptions'!C44</f>
        <v>194.47385243766743</v>
      </c>
      <c r="C71" s="149">
        <f>'Economic Assumptions'!M44</f>
        <v>194.47385243766743</v>
      </c>
      <c r="D71" s="149">
        <f>'Economic Assumptions'!W44</f>
        <v>353.07388743537706</v>
      </c>
      <c r="E71" s="149">
        <f>'Economic Assumptions'!AG44</f>
        <v>148.20642113765246</v>
      </c>
      <c r="F71" s="149">
        <f>'Economic Assumptions'!AQ44</f>
        <v>173.94462850922127</v>
      </c>
      <c r="G71" s="121"/>
      <c r="H71" s="108">
        <f t="shared" si="0"/>
        <v>2052</v>
      </c>
      <c r="I71" s="149">
        <f ca="1">'Economic Assumptions'!I44</f>
        <v>90.176500000000061</v>
      </c>
      <c r="J71" s="149">
        <f ca="1">'Economic Assumptions'!S44</f>
        <v>78.668096940600435</v>
      </c>
      <c r="K71" s="149">
        <f ca="1">'Economic Assumptions'!AC44</f>
        <v>185.79973879308972</v>
      </c>
      <c r="L71" s="149">
        <f ca="1">'Economic Assumptions'!AM44</f>
        <v>77.991364739128457</v>
      </c>
      <c r="M71" s="149">
        <f ca="1">'Economic Assumptions'!AW44</f>
        <v>91.535703124999998</v>
      </c>
      <c r="N71" s="121"/>
      <c r="O71" s="108">
        <f t="shared" si="1"/>
        <v>2052</v>
      </c>
      <c r="P71" s="149">
        <f>'Economic Assumptions'!D44</f>
        <v>6.8637830272117863</v>
      </c>
      <c r="Q71" s="149">
        <f>'Economic Assumptions'!N44</f>
        <v>6.8637830272117863</v>
      </c>
      <c r="R71" s="149">
        <f>'Economic Assumptions'!X44</f>
        <v>12.461431321248583</v>
      </c>
      <c r="S71" s="149">
        <f>'Economic Assumptions'!AH44</f>
        <v>5.2308148636818448</v>
      </c>
      <c r="T71" s="149">
        <f>'Economic Assumptions'!AR44</f>
        <v>5.6276203341218656</v>
      </c>
      <c r="U71" s="64"/>
      <c r="V71" s="108">
        <f t="shared" si="2"/>
        <v>2052</v>
      </c>
      <c r="W71" s="149">
        <f ca="1">'Economic Assumptions'!J44</f>
        <v>3.1826999999999996</v>
      </c>
      <c r="X71" s="149">
        <f ca="1">'Economic Assumptions'!T44</f>
        <v>2.7765210684917778</v>
      </c>
      <c r="Y71" s="149">
        <f ca="1">'Economic Assumptions'!AD44</f>
        <v>6.5576378397560973</v>
      </c>
      <c r="Z71" s="149">
        <f ca="1">'Economic Assumptions'!AN44</f>
        <v>2.7526364025574717</v>
      </c>
      <c r="AA71" s="149">
        <f ca="1">'Economic Assumptions'!AX44</f>
        <v>2.9614492187500003</v>
      </c>
      <c r="AB71" s="64"/>
      <c r="AC71" s="64"/>
      <c r="AD71" s="64"/>
      <c r="AE71" s="64"/>
      <c r="AF71" s="64"/>
      <c r="AG71" s="64"/>
      <c r="AH71" s="64"/>
      <c r="AI71" s="64"/>
    </row>
    <row r="72" spans="1:35">
      <c r="A72" s="108">
        <f>'Economic Assumptions'!A45</f>
        <v>2053</v>
      </c>
      <c r="B72" s="149">
        <f>'Economic Assumptions'!C45</f>
        <v>200.30806801079746</v>
      </c>
      <c r="C72" s="149">
        <f>'Economic Assumptions'!M45</f>
        <v>200.30806801079746</v>
      </c>
      <c r="D72" s="149">
        <f>'Economic Assumptions'!W45</f>
        <v>369.50031963156846</v>
      </c>
      <c r="E72" s="149">
        <f>'Economic Assumptions'!AG45</f>
        <v>151.81754039371768</v>
      </c>
      <c r="F72" s="149">
        <f>'Economic Assumptions'!AQ45</f>
        <v>178.2932442219518</v>
      </c>
      <c r="G72" s="121"/>
      <c r="H72" s="108">
        <f t="shared" si="0"/>
        <v>2053</v>
      </c>
      <c r="I72" s="149">
        <f ca="1">'Economic Assumptions'!I45</f>
        <v>90.176500000000075</v>
      </c>
      <c r="J72" s="149">
        <f ca="1">'Economic Assumptions'!S45</f>
        <v>78.288057824945355</v>
      </c>
      <c r="K72" s="149">
        <f ca="1">'Economic Assumptions'!AC45</f>
        <v>189.70136367188033</v>
      </c>
      <c r="L72" s="149">
        <f ca="1">'Economic Assumptions'!AM45</f>
        <v>77.943083975450179</v>
      </c>
      <c r="M72" s="149">
        <f ca="1">'Economic Assumptions'!AW45</f>
        <v>91.535703124999984</v>
      </c>
      <c r="N72" s="121"/>
      <c r="O72" s="108">
        <f t="shared" si="1"/>
        <v>2053</v>
      </c>
      <c r="P72" s="149">
        <f>'Economic Assumptions'!D45</f>
        <v>7.0696965180281399</v>
      </c>
      <c r="Q72" s="149">
        <f>'Economic Assumptions'!N45</f>
        <v>7.0696965180281399</v>
      </c>
      <c r="R72" s="149">
        <f>'Economic Assumptions'!X45</f>
        <v>13.041187751702394</v>
      </c>
      <c r="S72" s="149">
        <f>'Economic Assumptions'!AH45</f>
        <v>5.3582661315429707</v>
      </c>
      <c r="T72" s="149">
        <f>'Economic Assumptions'!AR45</f>
        <v>5.7683108424749117</v>
      </c>
      <c r="U72" s="64"/>
      <c r="V72" s="108">
        <f t="shared" si="2"/>
        <v>2053</v>
      </c>
      <c r="W72" s="149">
        <f ca="1">'Economic Assumptions'!J45</f>
        <v>3.1827000000000001</v>
      </c>
      <c r="X72" s="149">
        <f ca="1">'Economic Assumptions'!T45</f>
        <v>2.7631079232333633</v>
      </c>
      <c r="Y72" s="149">
        <f ca="1">'Economic Assumptions'!AD45</f>
        <v>6.6953422472428237</v>
      </c>
      <c r="Z72" s="149">
        <f ca="1">'Economic Assumptions'!AN45</f>
        <v>2.7509323756041204</v>
      </c>
      <c r="AA72" s="149">
        <f ca="1">'Economic Assumptions'!AX45</f>
        <v>2.9614492187499999</v>
      </c>
      <c r="AB72" s="64"/>
      <c r="AC72" s="64"/>
      <c r="AD72" s="64"/>
      <c r="AE72" s="64"/>
      <c r="AF72" s="64"/>
      <c r="AG72" s="64"/>
      <c r="AH72" s="64"/>
      <c r="AI72" s="64"/>
    </row>
    <row r="73" spans="1:35">
      <c r="A73" s="108">
        <f>'Economic Assumptions'!A46</f>
        <v>2054</v>
      </c>
      <c r="B73" s="149">
        <f>'Economic Assumptions'!C46</f>
        <v>206.31731005112138</v>
      </c>
      <c r="C73" s="149">
        <f>'Economic Assumptions'!M46</f>
        <v>206.31731005112138</v>
      </c>
      <c r="D73" s="149">
        <f>'Economic Assumptions'!W46</f>
        <v>386.59457126083942</v>
      </c>
      <c r="E73" s="149">
        <f>'Economic Assumptions'!AG46</f>
        <v>155.54951932813583</v>
      </c>
      <c r="F73" s="149">
        <f>'Economic Assumptions'!AQ46</f>
        <v>182.75057532750057</v>
      </c>
      <c r="G73" s="121"/>
      <c r="H73" s="108">
        <f t="shared" si="0"/>
        <v>2054</v>
      </c>
      <c r="I73" s="149">
        <f ca="1">'Economic Assumptions'!I46</f>
        <v>90.176500000000075</v>
      </c>
      <c r="J73" s="149">
        <f ca="1">'Economic Assumptions'!S46</f>
        <v>77.909854647047084</v>
      </c>
      <c r="K73" s="149">
        <f ca="1">'Economic Assumptions'!AC46</f>
        <v>193.63663201197994</v>
      </c>
      <c r="L73" s="149">
        <f ca="1">'Economic Assumptions'!AM46</f>
        <v>77.911298483962057</v>
      </c>
      <c r="M73" s="149">
        <f ca="1">'Economic Assumptions'!AW46</f>
        <v>91.535703124999984</v>
      </c>
      <c r="N73" s="121"/>
      <c r="O73" s="108">
        <f t="shared" si="1"/>
        <v>2054</v>
      </c>
      <c r="P73" s="149">
        <f>'Economic Assumptions'!D46</f>
        <v>7.281787413568984</v>
      </c>
      <c r="Q73" s="149">
        <f>'Economic Assumptions'!N46</f>
        <v>7.281787413568984</v>
      </c>
      <c r="R73" s="149">
        <f>'Economic Assumptions'!X46</f>
        <v>13.644514279794311</v>
      </c>
      <c r="S73" s="149">
        <f>'Economic Assumptions'!AH46</f>
        <v>5.4899830351106704</v>
      </c>
      <c r="T73" s="149">
        <f>'Economic Assumptions'!AR46</f>
        <v>5.9125186135367835</v>
      </c>
      <c r="U73" s="64"/>
      <c r="V73" s="108">
        <f t="shared" si="2"/>
        <v>2054</v>
      </c>
      <c r="W73" s="149">
        <f ca="1">'Economic Assumptions'!J46</f>
        <v>3.1826999999999996</v>
      </c>
      <c r="X73" s="149">
        <f ca="1">'Economic Assumptions'!T46</f>
        <v>2.7497595757781301</v>
      </c>
      <c r="Y73" s="149">
        <f ca="1">'Economic Assumptions'!AD46</f>
        <v>6.8342340710110463</v>
      </c>
      <c r="Z73" s="149">
        <f ca="1">'Economic Assumptions'!AN46</f>
        <v>2.7498105347280695</v>
      </c>
      <c r="AA73" s="149">
        <f ca="1">'Economic Assumptions'!AX46</f>
        <v>2.9614492187499994</v>
      </c>
      <c r="AB73" s="64"/>
      <c r="AC73" s="64"/>
      <c r="AD73" s="64"/>
      <c r="AE73" s="64"/>
      <c r="AF73" s="64"/>
      <c r="AG73" s="64"/>
      <c r="AH73" s="64"/>
      <c r="AI73" s="64"/>
    </row>
    <row r="74" spans="1:35">
      <c r="A74" s="108">
        <f>'Economic Assumptions'!A47</f>
        <v>2055</v>
      </c>
      <c r="B74" s="149">
        <f>'Economic Assumptions'!C47</f>
        <v>212.50682935265502</v>
      </c>
      <c r="C74" s="149">
        <f>'Economic Assumptions'!M47</f>
        <v>212.50682935265502</v>
      </c>
      <c r="D74" s="149">
        <f>'Economic Assumptions'!W47</f>
        <v>404.38192770019828</v>
      </c>
      <c r="E74" s="149">
        <f>'Economic Assumptions'!AG47</f>
        <v>159.40579583974741</v>
      </c>
      <c r="F74" s="149">
        <f>'Economic Assumptions'!AQ47</f>
        <v>187.31933971068807</v>
      </c>
      <c r="G74" s="121"/>
      <c r="H74" s="108">
        <f t="shared" si="0"/>
        <v>2055</v>
      </c>
      <c r="I74" s="149">
        <f ca="1">'Economic Assumptions'!I47</f>
        <v>90.176500000000061</v>
      </c>
      <c r="J74" s="149">
        <f ca="1">'Economic Assumptions'!S47</f>
        <v>77.533478537641059</v>
      </c>
      <c r="K74" s="149">
        <f ca="1">'Economic Assumptions'!AC47</f>
        <v>197.60577920171119</v>
      </c>
      <c r="L74" s="149">
        <f ca="1">'Economic Assumptions'!AM47</f>
        <v>77.89543582060216</v>
      </c>
      <c r="M74" s="149">
        <f ca="1">'Economic Assumptions'!AW47</f>
        <v>91.535703124999984</v>
      </c>
      <c r="N74" s="121"/>
      <c r="O74" s="108">
        <f t="shared" si="1"/>
        <v>2055</v>
      </c>
      <c r="P74" s="149">
        <f>'Economic Assumptions'!D47</f>
        <v>7.5002410359760541</v>
      </c>
      <c r="Q74" s="149">
        <f>'Economic Assumptions'!N47</f>
        <v>7.5002410359760541</v>
      </c>
      <c r="R74" s="149">
        <f>'Economic Assumptions'!X47</f>
        <v>14.272303330595211</v>
      </c>
      <c r="S74" s="149">
        <f>'Economic Assumptions'!AH47</f>
        <v>5.6260869119910808</v>
      </c>
      <c r="T74" s="149">
        <f>'Economic Assumptions'!AR47</f>
        <v>6.0603315788752026</v>
      </c>
      <c r="U74" s="64"/>
      <c r="V74" s="108">
        <f t="shared" si="2"/>
        <v>2055</v>
      </c>
      <c r="W74" s="149">
        <f ca="1">'Economic Assumptions'!J47</f>
        <v>3.1826999999999996</v>
      </c>
      <c r="X74" s="149">
        <f ca="1">'Economic Assumptions'!T47</f>
        <v>2.736475713093212</v>
      </c>
      <c r="Y74" s="149">
        <f ca="1">'Economic Assumptions'!AD47</f>
        <v>6.9743216188839137</v>
      </c>
      <c r="Z74" s="149">
        <f ca="1">'Economic Assumptions'!AN47</f>
        <v>2.7492506760212505</v>
      </c>
      <c r="AA74" s="149">
        <f ca="1">'Economic Assumptions'!AX47</f>
        <v>2.9614492187499994</v>
      </c>
      <c r="AB74" s="64"/>
      <c r="AC74" s="64"/>
      <c r="AD74" s="64"/>
      <c r="AE74" s="64"/>
      <c r="AF74" s="64"/>
      <c r="AG74" s="64"/>
      <c r="AH74" s="64"/>
      <c r="AI74" s="64"/>
    </row>
    <row r="75" spans="1:35">
      <c r="A75" s="108">
        <f>'Economic Assumptions'!A48</f>
        <v>2056</v>
      </c>
      <c r="B75" s="149">
        <f>'Economic Assumptions'!C48</f>
        <v>218.88203423323466</v>
      </c>
      <c r="C75" s="149">
        <f>'Economic Assumptions'!M48</f>
        <v>218.88203423323466</v>
      </c>
      <c r="D75" s="149">
        <f>'Economic Assumptions'!W48</f>
        <v>422.88859041178387</v>
      </c>
      <c r="E75" s="149">
        <f>'Economic Assumptions'!AG48</f>
        <v>163.38991378273084</v>
      </c>
      <c r="F75" s="149">
        <f>'Economic Assumptions'!AQ48</f>
        <v>192.00232320345526</v>
      </c>
      <c r="G75" s="121"/>
      <c r="H75" s="108">
        <f t="shared" si="0"/>
        <v>2056</v>
      </c>
      <c r="I75" s="149">
        <f ca="1">'Economic Assumptions'!I48</f>
        <v>90.176500000000061</v>
      </c>
      <c r="J75" s="149">
        <f ca="1">'Economic Assumptions'!S48</f>
        <v>77.15892067030947</v>
      </c>
      <c r="K75" s="149">
        <f ca="1">'Economic Assumptions'!AC48</f>
        <v>201.60904212530983</v>
      </c>
      <c r="L75" s="149">
        <f ca="1">'Economic Assumptions'!AM48</f>
        <v>77.894946228266505</v>
      </c>
      <c r="M75" s="149">
        <f ca="1">'Economic Assumptions'!AW48</f>
        <v>91.535703124999998</v>
      </c>
      <c r="N75" s="121"/>
      <c r="O75" s="108">
        <f t="shared" si="1"/>
        <v>2056</v>
      </c>
      <c r="P75" s="149">
        <f>'Economic Assumptions'!D48</f>
        <v>7.7252482670553357</v>
      </c>
      <c r="Q75" s="149">
        <f>'Economic Assumptions'!N48</f>
        <v>7.7252482670553357</v>
      </c>
      <c r="R75" s="149">
        <f>'Economic Assumptions'!X48</f>
        <v>14.92547966159235</v>
      </c>
      <c r="S75" s="149">
        <f>'Economic Assumptions'!AH48</f>
        <v>5.7667028393904962</v>
      </c>
      <c r="T75" s="149">
        <f>'Economic Assumptions'!AR48</f>
        <v>6.2118398683470817</v>
      </c>
      <c r="U75" s="64"/>
      <c r="V75" s="108">
        <f t="shared" si="2"/>
        <v>2056</v>
      </c>
      <c r="W75" s="149">
        <f ca="1">'Economic Assumptions'!J48</f>
        <v>3.1826999999999996</v>
      </c>
      <c r="X75" s="149">
        <f ca="1">'Economic Assumptions'!T48</f>
        <v>2.7232560236579793</v>
      </c>
      <c r="Y75" s="149">
        <f ca="1">'Economic Assumptions'!AD48</f>
        <v>7.1156132514815136</v>
      </c>
      <c r="Z75" s="149">
        <f ca="1">'Economic Assumptions'!AN48</f>
        <v>2.7492333962917574</v>
      </c>
      <c r="AA75" s="149">
        <f ca="1">'Economic Assumptions'!AX48</f>
        <v>2.9614492187499994</v>
      </c>
      <c r="AB75" s="64"/>
      <c r="AC75" s="64"/>
      <c r="AD75" s="64"/>
      <c r="AE75" s="64"/>
      <c r="AF75" s="64"/>
      <c r="AG75" s="64"/>
      <c r="AH75" s="64"/>
      <c r="AI75" s="64"/>
    </row>
    <row r="76" spans="1:35">
      <c r="A76" s="108">
        <f>'Economic Assumptions'!A49</f>
        <v>2057</v>
      </c>
      <c r="B76" s="149">
        <f>'Economic Assumptions'!C49</f>
        <v>225.44849526023171</v>
      </c>
      <c r="C76" s="149">
        <f>'Economic Assumptions'!M49</f>
        <v>225.44849526023171</v>
      </c>
      <c r="D76" s="149">
        <f>'Economic Assumptions'!W49</f>
        <v>442.14170915113442</v>
      </c>
      <c r="E76" s="149">
        <f>'Economic Assumptions'!AG49</f>
        <v>167.50552610298692</v>
      </c>
      <c r="F76" s="149">
        <f>'Economic Assumptions'!AQ49</f>
        <v>196.80238128354162</v>
      </c>
      <c r="G76" s="121"/>
      <c r="H76" s="108">
        <f t="shared" si="0"/>
        <v>2057</v>
      </c>
      <c r="I76" s="149">
        <f ca="1">'Economic Assumptions'!I49</f>
        <v>90.176500000000061</v>
      </c>
      <c r="J76" s="149">
        <f ca="1">'Economic Assumptions'!S49</f>
        <v>76.78617226127416</v>
      </c>
      <c r="K76" s="149">
        <f ca="1">'Economic Assumptions'!AC49</f>
        <v>205.64665917191795</v>
      </c>
      <c r="L76" s="149">
        <f ca="1">'Economic Assumptions'!AM49</f>
        <v>77.909301753160278</v>
      </c>
      <c r="M76" s="149">
        <f ca="1">'Economic Assumptions'!AW49</f>
        <v>91.535703124999984</v>
      </c>
      <c r="N76" s="121"/>
      <c r="O76" s="108">
        <f t="shared" si="1"/>
        <v>2057</v>
      </c>
      <c r="P76" s="149">
        <f>'Economic Assumptions'!D49</f>
        <v>7.9570057150669964</v>
      </c>
      <c r="Q76" s="149">
        <f>'Economic Assumptions'!N49</f>
        <v>7.9570057150669964</v>
      </c>
      <c r="R76" s="149">
        <f>'Economic Assumptions'!X49</f>
        <v>15.605001499451781</v>
      </c>
      <c r="S76" s="149">
        <f>'Economic Assumptions'!AH49</f>
        <v>5.9119597448112993</v>
      </c>
      <c r="T76" s="149">
        <f>'Economic Assumptions'!AR49</f>
        <v>6.3671358650557579</v>
      </c>
      <c r="U76" s="64"/>
      <c r="V76" s="108">
        <f t="shared" si="2"/>
        <v>2057</v>
      </c>
      <c r="W76" s="149">
        <f ca="1">'Economic Assumptions'!J49</f>
        <v>3.1827000000000001</v>
      </c>
      <c r="X76" s="149">
        <f ca="1">'Economic Assumptions'!T49</f>
        <v>2.7101001974567334</v>
      </c>
      <c r="Y76" s="149">
        <f ca="1">'Economic Assumptions'!AD49</f>
        <v>7.2581173825382708</v>
      </c>
      <c r="Z76" s="149">
        <f ca="1">'Economic Assumptions'!AN49</f>
        <v>2.7497400618762433</v>
      </c>
      <c r="AA76" s="149">
        <f ca="1">'Economic Assumptions'!AX49</f>
        <v>2.9614492187499994</v>
      </c>
      <c r="AB76" s="64"/>
      <c r="AC76" s="64"/>
      <c r="AD76" s="64"/>
      <c r="AE76" s="64"/>
      <c r="AF76" s="64"/>
      <c r="AG76" s="64"/>
      <c r="AH76" s="64"/>
      <c r="AI76" s="64"/>
    </row>
    <row r="77" spans="1:35">
      <c r="A77" s="110">
        <f>'Economic Assumptions'!A50</f>
        <v>2058</v>
      </c>
      <c r="B77" s="151">
        <f>'Economic Assumptions'!C50</f>
        <v>232.21195011803866</v>
      </c>
      <c r="C77" s="151">
        <f>'Economic Assumptions'!M50</f>
        <v>232.21195011803866</v>
      </c>
      <c r="D77" s="151">
        <f>'Economic Assumptions'!W50</f>
        <v>462.16941528347542</v>
      </c>
      <c r="E77" s="151">
        <f>'Economic Assumptions'!AG50</f>
        <v>171.75639806924906</v>
      </c>
      <c r="F77" s="151">
        <f>'Economic Assumptions'!AQ50</f>
        <v>201.72244081563014</v>
      </c>
      <c r="G77" s="121"/>
      <c r="H77" s="110">
        <f t="shared" si="0"/>
        <v>2058</v>
      </c>
      <c r="I77" s="151">
        <f ca="1">'Economic Assumptions'!I50</f>
        <v>90.176500000000061</v>
      </c>
      <c r="J77" s="151">
        <f ca="1">'Economic Assumptions'!S50</f>
        <v>76.415224569190713</v>
      </c>
      <c r="K77" s="151">
        <f ca="1">'Economic Assumptions'!AC50</f>
        <v>209.71887024462924</v>
      </c>
      <c r="L77" s="151">
        <f ca="1">'Economic Assumptions'!AM50</f>
        <v>77.937995395641281</v>
      </c>
      <c r="M77" s="151">
        <f ca="1">'Economic Assumptions'!AW50</f>
        <v>91.535703124999984</v>
      </c>
      <c r="N77" s="121"/>
      <c r="O77" s="110">
        <f t="shared" si="1"/>
        <v>2058</v>
      </c>
      <c r="P77" s="151">
        <f>'Economic Assumptions'!D50</f>
        <v>8.1957158865190056</v>
      </c>
      <c r="Q77" s="151">
        <f>'Economic Assumptions'!N50</f>
        <v>8.1957158865190056</v>
      </c>
      <c r="R77" s="151">
        <f>'Economic Assumptions'!X50</f>
        <v>16.311861715887343</v>
      </c>
      <c r="S77" s="151">
        <f>'Economic Assumptions'!AH50</f>
        <v>6.0619905200911388</v>
      </c>
      <c r="T77" s="151">
        <f>'Economic Assumptions'!AR50</f>
        <v>6.5263142616821517</v>
      </c>
      <c r="U77" s="64"/>
      <c r="V77" s="110">
        <f t="shared" si="2"/>
        <v>2058</v>
      </c>
      <c r="W77" s="151">
        <f ca="1">'Economic Assumptions'!J50</f>
        <v>3.1827000000000001</v>
      </c>
      <c r="X77" s="151">
        <f ca="1">'Economic Assumptions'!T50</f>
        <v>2.6970079259714348</v>
      </c>
      <c r="Y77" s="151">
        <f ca="1">'Economic Assumptions'!AD50</f>
        <v>7.4018424792221964</v>
      </c>
      <c r="Z77" s="151">
        <f ca="1">'Economic Assumptions'!AN50</f>
        <v>2.7507527786696904</v>
      </c>
      <c r="AA77" s="151">
        <f ca="1">'Economic Assumptions'!AX50</f>
        <v>2.9614492187499994</v>
      </c>
      <c r="AB77" s="64"/>
      <c r="AC77" s="64"/>
      <c r="AD77" s="64"/>
      <c r="AE77" s="64"/>
      <c r="AF77" s="64"/>
      <c r="AG77" s="64"/>
      <c r="AH77" s="64"/>
      <c r="AI77" s="64"/>
    </row>
    <row r="78" spans="1:35">
      <c r="A78" s="64"/>
      <c r="B78" s="121"/>
      <c r="C78" s="121"/>
      <c r="D78" s="121"/>
      <c r="E78" s="121"/>
      <c r="F78" s="121"/>
      <c r="G78" s="121"/>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c r="AG78" s="64"/>
      <c r="AH78" s="64"/>
      <c r="AI78" s="64"/>
    </row>
    <row r="79" spans="1:35">
      <c r="A79" s="64"/>
      <c r="B79" s="121"/>
      <c r="C79" s="121"/>
      <c r="D79" s="121"/>
      <c r="E79" s="121"/>
      <c r="F79" s="121"/>
      <c r="G79" s="121"/>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c r="AG79" s="64"/>
      <c r="AH79" s="64"/>
      <c r="AI79" s="64"/>
    </row>
    <row r="80" spans="1:35">
      <c r="A80" s="64"/>
      <c r="B80" s="121"/>
      <c r="C80" s="121"/>
      <c r="D80" s="121"/>
      <c r="E80" s="121"/>
      <c r="F80" s="121"/>
      <c r="G80" s="121"/>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c r="AG80" s="64"/>
      <c r="AH80" s="64"/>
      <c r="AI80" s="64"/>
    </row>
    <row r="81" spans="1:35">
      <c r="A81" s="64"/>
      <c r="B81" s="121"/>
      <c r="C81" s="121"/>
      <c r="D81" s="121"/>
      <c r="E81" s="121"/>
      <c r="F81" s="121"/>
      <c r="G81" s="121"/>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c r="AG81" s="64"/>
      <c r="AH81" s="64"/>
      <c r="AI81" s="64"/>
    </row>
    <row r="82" spans="1:35">
      <c r="A82" s="64"/>
      <c r="B82" s="121"/>
      <c r="C82" s="121"/>
      <c r="D82" s="121"/>
      <c r="E82" s="121"/>
      <c r="F82" s="121"/>
      <c r="G82" s="121"/>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c r="AG82" s="64"/>
      <c r="AH82" s="64"/>
      <c r="AI82" s="64"/>
    </row>
    <row r="83" spans="1:35">
      <c r="A83" s="64"/>
      <c r="B83" s="121"/>
      <c r="C83" s="121"/>
      <c r="D83" s="121"/>
      <c r="E83" s="121"/>
      <c r="F83" s="121"/>
      <c r="G83" s="121"/>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c r="AG83" s="64"/>
      <c r="AH83" s="64"/>
      <c r="AI83" s="64"/>
    </row>
    <row r="84" spans="1:35">
      <c r="A84" s="64"/>
      <c r="B84" s="121"/>
      <c r="C84" s="121"/>
      <c r="D84" s="121"/>
      <c r="E84" s="121"/>
      <c r="F84" s="121"/>
      <c r="G84" s="121"/>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c r="AG84" s="64"/>
      <c r="AH84" s="64"/>
      <c r="AI84" s="64"/>
    </row>
    <row r="85" spans="1:35">
      <c r="A85" s="64"/>
      <c r="B85" s="121"/>
      <c r="C85" s="121"/>
      <c r="D85" s="121"/>
      <c r="E85" s="121"/>
      <c r="F85" s="121"/>
      <c r="G85" s="121"/>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row>
    <row r="86" spans="1:35">
      <c r="A86" s="64"/>
      <c r="B86" s="121"/>
      <c r="C86" s="121"/>
      <c r="D86" s="121"/>
      <c r="E86" s="121"/>
      <c r="F86" s="121"/>
      <c r="G86" s="121"/>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row>
    <row r="87" spans="1:35">
      <c r="A87" s="64"/>
      <c r="B87" s="121"/>
      <c r="C87" s="121"/>
      <c r="D87" s="121"/>
      <c r="E87" s="121"/>
      <c r="F87" s="121"/>
      <c r="G87" s="121"/>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row>
    <row r="88" spans="1:35">
      <c r="A88" s="64"/>
      <c r="B88" s="121"/>
      <c r="C88" s="121"/>
      <c r="D88" s="121"/>
      <c r="E88" s="121"/>
      <c r="F88" s="121"/>
      <c r="G88" s="121"/>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row>
    <row r="89" spans="1:35">
      <c r="A89" s="64"/>
      <c r="B89" s="121"/>
      <c r="C89" s="121"/>
      <c r="D89" s="121"/>
      <c r="E89" s="121"/>
      <c r="F89" s="121"/>
      <c r="G89" s="121"/>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row>
  </sheetData>
  <hyperlinks>
    <hyperlink ref="A1" location="Guide" display="Guide" xr:uid="{00000000-0004-0000-0D00-000000000000}"/>
    <hyperlink ref="A2" location="Input" display="Input" xr:uid="{00000000-0004-0000-0D00-000001000000}"/>
  </hyperlinks>
  <pageMargins left="0.7" right="0.7" top="0.75" bottom="0.75" header="0.3" footer="0.3"/>
  <pageSetup paperSize="9" scale="44" orientation="landscape" horizontalDpi="300" r:id="rId1"/>
  <headerFooter>
    <oddFooter>&amp;LNova Scotia Exploration Economics Model&amp;Rwww.indeva.com</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tabColor theme="9" tint="-0.249977111117893"/>
    <pageSetUpPr fitToPage="1"/>
  </sheetPr>
  <dimension ref="A1:AA98"/>
  <sheetViews>
    <sheetView showGridLines="0" showRowColHeaders="0" zoomScale="80" zoomScaleNormal="80" workbookViewId="0">
      <pane ySplit="2" topLeftCell="A3" activePane="bottomLeft" state="frozen"/>
      <selection activeCell="D43" sqref="D43"/>
      <selection pane="bottomLeft" activeCell="I2" sqref="I2"/>
    </sheetView>
  </sheetViews>
  <sheetFormatPr defaultRowHeight="15"/>
  <cols>
    <col min="2" max="2" width="28.42578125" customWidth="1"/>
    <col min="3" max="3" width="20.7109375" customWidth="1"/>
    <col min="4" max="4" width="14" customWidth="1"/>
    <col min="5" max="5" width="13" customWidth="1"/>
    <col min="6" max="6" width="14.140625" customWidth="1"/>
    <col min="7" max="12" width="12.7109375" customWidth="1"/>
    <col min="13" max="13" width="15.42578125" customWidth="1"/>
    <col min="14" max="15" width="11" customWidth="1"/>
    <col min="16" max="16" width="13.5703125" customWidth="1"/>
  </cols>
  <sheetData>
    <row r="1" spans="1:27" ht="18.75">
      <c r="A1" s="9"/>
      <c r="B1" s="312" t="str">
        <f>Input!B10</f>
        <v>Prospect X</v>
      </c>
      <c r="C1" s="312" t="s">
        <v>994</v>
      </c>
      <c r="D1" s="312"/>
      <c r="E1" s="312"/>
      <c r="F1" s="14"/>
      <c r="G1" s="14"/>
      <c r="H1" s="9"/>
      <c r="I1" s="93" t="s">
        <v>756</v>
      </c>
      <c r="J1" s="395"/>
      <c r="K1" s="9"/>
      <c r="L1" s="9"/>
      <c r="M1" s="9"/>
      <c r="N1" s="9"/>
      <c r="O1" s="9"/>
      <c r="P1" s="9"/>
      <c r="Q1" s="9"/>
      <c r="R1" s="9"/>
      <c r="S1" s="9"/>
      <c r="T1" s="9"/>
      <c r="U1" s="9"/>
      <c r="V1" s="9"/>
      <c r="W1" s="9"/>
      <c r="X1" s="9"/>
      <c r="Y1" s="9"/>
      <c r="Z1" s="9"/>
      <c r="AA1" s="9"/>
    </row>
    <row r="2" spans="1:27" ht="18.75">
      <c r="A2" s="3"/>
      <c r="B2" s="312"/>
      <c r="C2" s="501" t="s">
        <v>970</v>
      </c>
      <c r="D2" s="501"/>
      <c r="E2" s="315"/>
      <c r="F2" s="315"/>
      <c r="G2" s="501">
        <f>'Selected Economics'!B5</f>
        <v>2023</v>
      </c>
      <c r="H2" s="9"/>
      <c r="I2" s="93" t="s">
        <v>139</v>
      </c>
      <c r="J2" s="395"/>
      <c r="K2" s="9"/>
      <c r="L2" s="9"/>
      <c r="M2" s="9"/>
      <c r="N2" s="9"/>
      <c r="O2" s="9"/>
      <c r="P2" s="9"/>
      <c r="Q2" s="9"/>
      <c r="R2" s="9"/>
      <c r="S2" s="9"/>
      <c r="T2" s="9"/>
      <c r="U2" s="9"/>
      <c r="V2" s="9"/>
      <c r="W2" s="9"/>
      <c r="X2" s="9"/>
      <c r="Y2" s="9"/>
      <c r="Z2" s="9"/>
      <c r="AA2" s="9"/>
    </row>
    <row r="3" spans="1:27" ht="18.75" hidden="1">
      <c r="A3" s="3"/>
      <c r="B3" s="2"/>
      <c r="C3" s="9"/>
      <c r="D3" s="9"/>
      <c r="E3" s="9"/>
      <c r="F3" s="9"/>
      <c r="G3" s="408">
        <f>VLOOKUP(G2,'Selected Economics'!$N$11:$P$84,2)</f>
        <v>1.1771369290137601</v>
      </c>
      <c r="H3" s="9"/>
      <c r="I3" s="9"/>
      <c r="J3" s="9"/>
      <c r="K3" s="9"/>
      <c r="L3" s="9"/>
      <c r="M3" s="9"/>
      <c r="N3" s="9"/>
      <c r="O3" s="9"/>
      <c r="P3" s="9"/>
      <c r="Q3" s="9"/>
      <c r="R3" s="9"/>
      <c r="S3" s="9"/>
      <c r="T3" s="9"/>
      <c r="U3" s="9"/>
      <c r="V3" s="9"/>
      <c r="W3" s="9"/>
      <c r="X3" s="9"/>
      <c r="Y3" s="9"/>
      <c r="Z3" s="9"/>
      <c r="AA3" s="9"/>
    </row>
    <row r="4" spans="1:27" ht="18.75">
      <c r="A4" s="3"/>
      <c r="B4" s="2"/>
      <c r="C4" s="9"/>
      <c r="D4" s="9"/>
      <c r="E4" s="9"/>
      <c r="F4" s="9"/>
      <c r="G4" s="408"/>
      <c r="H4" s="9"/>
      <c r="I4" s="9"/>
      <c r="J4" s="9"/>
      <c r="K4" s="9"/>
      <c r="L4" s="9"/>
      <c r="M4" s="9"/>
      <c r="N4" s="9"/>
      <c r="O4" s="9"/>
      <c r="P4" s="9"/>
      <c r="Q4" s="9"/>
      <c r="R4" s="9"/>
      <c r="S4" s="9"/>
      <c r="T4" s="9"/>
      <c r="U4" s="9"/>
      <c r="V4" s="9"/>
      <c r="W4" s="9"/>
      <c r="X4" s="9"/>
      <c r="Y4" s="9"/>
      <c r="Z4" s="9"/>
      <c r="AA4" s="9"/>
    </row>
    <row r="5" spans="1:27">
      <c r="A5" s="9"/>
      <c r="B5" s="220" t="s">
        <v>137</v>
      </c>
      <c r="C5" s="7" t="s">
        <v>138</v>
      </c>
      <c r="D5" s="18"/>
      <c r="E5" s="18"/>
      <c r="F5" s="9"/>
      <c r="G5" s="9"/>
      <c r="H5" s="9"/>
      <c r="I5" s="9"/>
      <c r="J5" s="9"/>
      <c r="K5" s="9"/>
      <c r="L5" s="9"/>
      <c r="M5" s="9"/>
      <c r="N5" s="9"/>
      <c r="O5" s="9"/>
      <c r="P5" s="9"/>
      <c r="Q5" s="9"/>
      <c r="R5" s="9"/>
      <c r="S5" s="9"/>
      <c r="T5" s="9"/>
      <c r="U5" s="9"/>
      <c r="V5" s="9"/>
      <c r="W5" s="9"/>
      <c r="X5" s="9"/>
      <c r="Y5" s="9"/>
      <c r="Z5" s="9"/>
      <c r="AA5" s="9"/>
    </row>
    <row r="6" spans="1:27">
      <c r="A6" s="9"/>
      <c r="B6" s="14"/>
      <c r="C6" s="9"/>
      <c r="D6" s="9"/>
      <c r="E6" s="9"/>
      <c r="F6" s="9"/>
      <c r="G6" s="9"/>
      <c r="H6" s="9"/>
      <c r="I6" s="9"/>
      <c r="J6" s="9"/>
      <c r="K6" s="9"/>
      <c r="L6" s="9"/>
      <c r="M6" s="9"/>
      <c r="N6" s="9"/>
      <c r="O6" s="9"/>
      <c r="P6" s="9"/>
      <c r="Q6" s="9"/>
      <c r="R6" s="9"/>
      <c r="S6" s="9"/>
      <c r="T6" s="9"/>
      <c r="U6" s="9"/>
      <c r="V6" s="9"/>
      <c r="W6" s="9"/>
      <c r="X6" s="9"/>
      <c r="Y6" s="9"/>
      <c r="Z6" s="9"/>
      <c r="AA6" s="9"/>
    </row>
    <row r="7" spans="1:27">
      <c r="A7" s="9"/>
      <c r="B7" s="14"/>
      <c r="C7" s="14" t="s">
        <v>966</v>
      </c>
      <c r="D7" s="9"/>
      <c r="E7" s="7">
        <v>2023</v>
      </c>
      <c r="F7" s="9" t="s">
        <v>971</v>
      </c>
      <c r="G7" s="9"/>
      <c r="H7" s="517">
        <f>$G$3/VLOOKUP(E7,'Selected Economics'!$N$11:$P$84,2)</f>
        <v>1</v>
      </c>
      <c r="I7" s="9"/>
      <c r="J7" s="9"/>
      <c r="K7" s="9"/>
      <c r="L7" s="9"/>
      <c r="M7" s="9"/>
      <c r="N7" s="9"/>
      <c r="O7" s="9"/>
      <c r="P7" s="9"/>
      <c r="Q7" s="9"/>
      <c r="R7" s="9"/>
      <c r="S7" s="9"/>
      <c r="T7" s="9"/>
      <c r="U7" s="9"/>
      <c r="V7" s="9"/>
      <c r="W7" s="9"/>
      <c r="X7" s="9"/>
      <c r="Y7" s="9"/>
      <c r="Z7" s="9"/>
      <c r="AA7" s="9"/>
    </row>
    <row r="8" spans="1:27" ht="13.15" customHeight="1">
      <c r="A8" s="9"/>
      <c r="B8" s="14"/>
      <c r="C8" s="9"/>
      <c r="D8" s="9"/>
      <c r="E8" s="9"/>
      <c r="F8" s="9"/>
      <c r="G8" s="9"/>
      <c r="H8" s="14"/>
      <c r="I8" s="9"/>
      <c r="J8" s="9"/>
      <c r="K8" s="9"/>
      <c r="L8" s="9"/>
      <c r="M8" s="9"/>
      <c r="N8" s="9"/>
      <c r="O8" s="9"/>
      <c r="P8" s="9"/>
      <c r="Q8" s="9"/>
      <c r="R8" s="9"/>
      <c r="S8" s="9"/>
      <c r="T8" s="9"/>
      <c r="U8" s="9"/>
      <c r="V8" s="9"/>
      <c r="W8" s="9"/>
      <c r="X8" s="9"/>
      <c r="Y8" s="9"/>
      <c r="Z8" s="9"/>
      <c r="AA8" s="9"/>
    </row>
    <row r="9" spans="1:27" ht="13.15" customHeight="1">
      <c r="A9" s="9"/>
      <c r="B9" s="14"/>
      <c r="C9" s="316"/>
      <c r="D9" s="623" t="s">
        <v>975</v>
      </c>
      <c r="E9" s="219" t="s">
        <v>139</v>
      </c>
      <c r="F9" s="626" t="s">
        <v>988</v>
      </c>
      <c r="G9" s="219" t="s">
        <v>140</v>
      </c>
      <c r="H9" s="626" t="s">
        <v>967</v>
      </c>
      <c r="I9" s="9"/>
      <c r="J9" s="9"/>
      <c r="K9" s="9"/>
      <c r="L9" s="9"/>
      <c r="M9" s="9"/>
      <c r="N9" s="9"/>
      <c r="O9" s="9"/>
      <c r="P9" s="9"/>
      <c r="Q9" s="9"/>
      <c r="R9" s="9"/>
      <c r="S9" s="9"/>
      <c r="T9" s="9"/>
      <c r="U9" s="9"/>
      <c r="V9" s="9"/>
      <c r="W9" s="9"/>
      <c r="X9" s="9"/>
      <c r="Y9" s="9"/>
      <c r="Z9" s="9"/>
      <c r="AA9" s="9"/>
    </row>
    <row r="10" spans="1:27">
      <c r="A10" s="9"/>
      <c r="B10" s="14"/>
      <c r="C10" s="317"/>
      <c r="D10" s="624"/>
      <c r="E10" s="514" t="s">
        <v>141</v>
      </c>
      <c r="F10" s="627"/>
      <c r="G10" s="514" t="s">
        <v>42</v>
      </c>
      <c r="H10" s="627"/>
      <c r="I10" s="9"/>
      <c r="J10" s="9"/>
      <c r="K10" s="9"/>
      <c r="L10" s="9"/>
      <c r="M10" s="9"/>
      <c r="N10" s="9"/>
      <c r="O10" s="9"/>
      <c r="P10" s="9"/>
      <c r="Q10" s="9"/>
      <c r="R10" s="9"/>
      <c r="S10" s="9"/>
      <c r="T10" s="9"/>
      <c r="U10" s="9"/>
      <c r="V10" s="9"/>
      <c r="W10" s="9"/>
      <c r="X10" s="9"/>
      <c r="Y10" s="9"/>
      <c r="Z10" s="9"/>
      <c r="AA10" s="9"/>
    </row>
    <row r="11" spans="1:27">
      <c r="A11" s="9"/>
      <c r="B11" s="14"/>
      <c r="C11" s="318"/>
      <c r="D11" s="625"/>
      <c r="E11" s="500" t="s">
        <v>142</v>
      </c>
      <c r="F11" s="628"/>
      <c r="G11" s="500" t="str">
        <f>"(K$ "&amp;E7&amp;")"</f>
        <v>(K$ 2023)</v>
      </c>
      <c r="H11" s="500" t="str">
        <f>"(K$ "&amp;$G$2&amp;")"</f>
        <v>(K$ 2023)</v>
      </c>
      <c r="I11" s="9"/>
      <c r="J11" s="9"/>
      <c r="K11" s="9"/>
      <c r="L11" s="9"/>
      <c r="M11" s="9"/>
      <c r="N11" s="9"/>
      <c r="O11" s="9"/>
      <c r="P11" s="9"/>
      <c r="Q11" s="9"/>
      <c r="R11" s="9"/>
      <c r="S11" s="9"/>
      <c r="T11" s="9"/>
      <c r="U11" s="9"/>
      <c r="V11" s="9"/>
      <c r="W11" s="9"/>
      <c r="X11" s="9"/>
      <c r="Y11" s="9"/>
      <c r="Z11" s="9"/>
      <c r="AA11" s="9"/>
    </row>
    <row r="12" spans="1:27">
      <c r="A12" s="9"/>
      <c r="B12" s="14"/>
      <c r="C12" s="220" t="s">
        <v>78</v>
      </c>
      <c r="D12" s="534">
        <f>Exploration!H21</f>
        <v>45200</v>
      </c>
      <c r="E12" s="7"/>
      <c r="F12" s="7"/>
      <c r="G12" s="25"/>
      <c r="H12" s="535">
        <f>G12*$H$7</f>
        <v>0</v>
      </c>
      <c r="I12" s="9"/>
      <c r="J12" s="9"/>
      <c r="K12" s="9"/>
      <c r="L12" s="9"/>
      <c r="M12" s="9"/>
      <c r="N12" s="9"/>
      <c r="O12" s="9"/>
      <c r="P12" s="9"/>
      <c r="Q12" s="9"/>
      <c r="R12" s="9"/>
      <c r="S12" s="9"/>
      <c r="T12" s="9"/>
      <c r="U12" s="9"/>
      <c r="V12" s="9"/>
      <c r="W12" s="9"/>
      <c r="X12" s="9"/>
      <c r="Y12" s="9"/>
      <c r="Z12" s="9"/>
      <c r="AA12" s="9"/>
    </row>
    <row r="13" spans="1:27">
      <c r="A13" s="9"/>
      <c r="B13" s="14"/>
      <c r="C13" s="220" t="s">
        <v>143</v>
      </c>
      <c r="D13" s="534">
        <f>Exploration!H22</f>
        <v>45295.4</v>
      </c>
      <c r="E13" s="7"/>
      <c r="F13" s="7"/>
      <c r="G13" s="7"/>
      <c r="H13" s="535">
        <f>G13*$H$7</f>
        <v>0</v>
      </c>
      <c r="I13" s="9"/>
      <c r="J13" s="9"/>
      <c r="K13" s="9"/>
      <c r="L13" s="9"/>
      <c r="M13" s="9"/>
      <c r="N13" s="9"/>
      <c r="O13" s="9"/>
      <c r="P13" s="9"/>
      <c r="Q13" s="9"/>
      <c r="R13" s="9"/>
      <c r="S13" s="9"/>
      <c r="T13" s="9"/>
      <c r="U13" s="9"/>
      <c r="V13" s="9"/>
      <c r="W13" s="9"/>
      <c r="X13" s="9"/>
      <c r="Y13" s="9"/>
      <c r="Z13" s="9"/>
      <c r="AA13" s="9"/>
    </row>
    <row r="14" spans="1:27">
      <c r="A14" s="9"/>
      <c r="B14" s="14"/>
      <c r="C14" s="9"/>
      <c r="D14" s="9"/>
      <c r="E14" s="9"/>
      <c r="F14" s="9"/>
      <c r="G14" s="9"/>
      <c r="H14" s="14"/>
      <c r="I14" s="9"/>
      <c r="J14" s="9"/>
      <c r="K14" s="9"/>
      <c r="L14" s="9"/>
      <c r="M14" s="9"/>
      <c r="N14" s="9"/>
      <c r="O14" s="9"/>
      <c r="P14" s="9"/>
      <c r="Q14" s="9"/>
      <c r="R14" s="9"/>
      <c r="S14" s="9"/>
      <c r="T14" s="9"/>
      <c r="U14" s="9"/>
      <c r="V14" s="9"/>
      <c r="W14" s="9"/>
      <c r="X14" s="9"/>
      <c r="Y14" s="9"/>
      <c r="Z14" s="9"/>
      <c r="AA14" s="9"/>
    </row>
    <row r="15" spans="1:27">
      <c r="A15" s="9"/>
      <c r="B15" s="220" t="s">
        <v>144</v>
      </c>
      <c r="C15" s="7" t="s">
        <v>138</v>
      </c>
      <c r="D15" s="9"/>
      <c r="E15" s="9"/>
      <c r="F15" s="9"/>
      <c r="G15" s="9"/>
      <c r="H15" s="14"/>
      <c r="I15" s="9"/>
      <c r="J15" s="9"/>
      <c r="K15" s="9"/>
      <c r="L15" s="9"/>
      <c r="M15" s="9"/>
      <c r="N15" s="9"/>
      <c r="O15" s="9"/>
      <c r="P15" s="9"/>
      <c r="Q15" s="9"/>
      <c r="R15" s="9"/>
      <c r="S15" s="9"/>
      <c r="T15" s="9"/>
      <c r="U15" s="9"/>
      <c r="V15" s="9"/>
      <c r="W15" s="9"/>
      <c r="X15" s="9"/>
      <c r="Y15" s="9"/>
      <c r="Z15" s="9"/>
      <c r="AA15" s="9"/>
    </row>
    <row r="16" spans="1:27">
      <c r="A16" s="9"/>
      <c r="B16" s="14"/>
      <c r="C16" s="9"/>
      <c r="D16" s="9"/>
      <c r="E16" s="9"/>
      <c r="F16" s="9"/>
      <c r="G16" s="9"/>
      <c r="H16" s="14"/>
      <c r="I16" s="9"/>
      <c r="J16" s="9"/>
      <c r="K16" s="9"/>
      <c r="L16" s="9"/>
      <c r="M16" s="9"/>
      <c r="N16" s="9"/>
      <c r="O16" s="9"/>
      <c r="P16" s="9"/>
      <c r="Q16" s="9"/>
      <c r="R16" s="9"/>
      <c r="S16" s="9"/>
      <c r="T16" s="9"/>
      <c r="U16" s="9"/>
      <c r="V16" s="9"/>
      <c r="W16" s="9"/>
      <c r="X16" s="9"/>
      <c r="Y16" s="9"/>
      <c r="Z16" s="9"/>
      <c r="AA16" s="9"/>
    </row>
    <row r="17" spans="1:27">
      <c r="A17" s="9"/>
      <c r="B17" s="14"/>
      <c r="C17" s="14" t="s">
        <v>966</v>
      </c>
      <c r="D17" s="9"/>
      <c r="E17" s="7">
        <v>2023</v>
      </c>
      <c r="F17" s="14" t="s">
        <v>971</v>
      </c>
      <c r="G17" s="9"/>
      <c r="H17" s="517">
        <f>$G$3/VLOOKUP(E17,'Selected Economics'!$N$11:$P$84,2)</f>
        <v>1</v>
      </c>
      <c r="I17" s="9"/>
      <c r="J17" s="9"/>
      <c r="K17" s="9"/>
      <c r="L17" s="9"/>
      <c r="M17" s="9"/>
      <c r="N17" s="9"/>
      <c r="O17" s="9"/>
      <c r="P17" s="9"/>
      <c r="Q17" s="9"/>
      <c r="R17" s="9"/>
      <c r="S17" s="9"/>
      <c r="T17" s="9"/>
      <c r="U17" s="9"/>
      <c r="V17" s="9"/>
      <c r="W17" s="9"/>
      <c r="X17" s="9"/>
      <c r="Y17" s="9"/>
      <c r="Z17" s="9"/>
      <c r="AA17" s="9"/>
    </row>
    <row r="18" spans="1:27">
      <c r="A18" s="9"/>
      <c r="B18" s="14"/>
      <c r="C18" s="9"/>
      <c r="D18" s="9"/>
      <c r="E18" s="9"/>
      <c r="F18" s="9"/>
      <c r="G18" s="9"/>
      <c r="H18" s="14"/>
      <c r="I18" s="9"/>
      <c r="J18" s="9"/>
      <c r="K18" s="9"/>
      <c r="L18" s="9"/>
      <c r="M18" s="9"/>
      <c r="N18" s="9"/>
      <c r="O18" s="9"/>
      <c r="P18" s="9"/>
      <c r="Q18" s="9"/>
      <c r="R18" s="9"/>
      <c r="S18" s="9"/>
      <c r="T18" s="9"/>
      <c r="U18" s="9"/>
      <c r="V18" s="9"/>
      <c r="W18" s="9"/>
      <c r="X18" s="9"/>
      <c r="Y18" s="9"/>
      <c r="Z18" s="9"/>
      <c r="AA18" s="9"/>
    </row>
    <row r="19" spans="1:27" ht="14.25" customHeight="1">
      <c r="A19" s="9"/>
      <c r="B19" s="14"/>
      <c r="C19" s="316"/>
      <c r="D19" s="316"/>
      <c r="E19" s="219" t="s">
        <v>139</v>
      </c>
      <c r="F19" s="626" t="s">
        <v>987</v>
      </c>
      <c r="G19" s="219" t="s">
        <v>140</v>
      </c>
      <c r="H19" s="626" t="s">
        <v>967</v>
      </c>
      <c r="I19" s="9"/>
      <c r="J19" s="9"/>
      <c r="K19" s="9"/>
      <c r="L19" s="9"/>
      <c r="M19" s="9"/>
      <c r="N19" s="9"/>
      <c r="O19" s="9"/>
      <c r="P19" s="9"/>
      <c r="Q19" s="9"/>
      <c r="R19" s="9"/>
      <c r="S19" s="9"/>
      <c r="T19" s="9"/>
      <c r="U19" s="9"/>
      <c r="V19" s="9"/>
      <c r="W19" s="9"/>
      <c r="X19" s="9"/>
      <c r="Y19" s="9"/>
      <c r="Z19" s="9"/>
      <c r="AA19" s="9"/>
    </row>
    <row r="20" spans="1:27">
      <c r="A20" s="9"/>
      <c r="B20" s="14"/>
      <c r="C20" s="317"/>
      <c r="D20" s="317"/>
      <c r="E20" s="514" t="s">
        <v>141</v>
      </c>
      <c r="F20" s="627"/>
      <c r="G20" s="514" t="s">
        <v>42</v>
      </c>
      <c r="H20" s="627"/>
      <c r="I20" s="9"/>
      <c r="J20" s="9"/>
      <c r="K20" s="9"/>
      <c r="L20" s="9"/>
      <c r="M20" s="9"/>
      <c r="N20" s="9"/>
      <c r="O20" s="9"/>
      <c r="P20" s="9"/>
      <c r="Q20" s="9"/>
      <c r="R20" s="9"/>
      <c r="S20" s="9"/>
      <c r="T20" s="9"/>
      <c r="U20" s="9"/>
      <c r="V20" s="9"/>
      <c r="W20" s="9"/>
      <c r="X20" s="9"/>
      <c r="Y20" s="9"/>
      <c r="Z20" s="9"/>
      <c r="AA20" s="9"/>
    </row>
    <row r="21" spans="1:27">
      <c r="A21" s="9"/>
      <c r="B21" s="14"/>
      <c r="C21" s="318"/>
      <c r="D21" s="318"/>
      <c r="E21" s="500" t="s">
        <v>142</v>
      </c>
      <c r="F21" s="628"/>
      <c r="G21" s="500" t="str">
        <f>"(K$ "&amp;E17&amp;")"</f>
        <v>(K$ 2023)</v>
      </c>
      <c r="H21" s="500" t="str">
        <f>"(K$ "&amp;$G$2&amp;")"</f>
        <v>(K$ 2023)</v>
      </c>
      <c r="I21" s="9"/>
      <c r="J21" s="9"/>
      <c r="K21" s="9"/>
      <c r="L21" s="9"/>
      <c r="M21" s="9"/>
      <c r="N21" s="9"/>
      <c r="O21" s="9"/>
      <c r="P21" s="9"/>
      <c r="Q21" s="9"/>
      <c r="R21" s="9"/>
      <c r="S21" s="9"/>
      <c r="T21" s="9"/>
      <c r="U21" s="9"/>
      <c r="V21" s="9"/>
      <c r="W21" s="9"/>
      <c r="X21" s="9"/>
      <c r="Y21" s="9"/>
      <c r="Z21" s="9"/>
      <c r="AA21" s="9"/>
    </row>
    <row r="22" spans="1:27">
      <c r="A22" s="9"/>
      <c r="B22" s="14"/>
      <c r="C22" s="220" t="s">
        <v>86</v>
      </c>
      <c r="D22" s="534">
        <f>Exploration!H23</f>
        <v>45613.4</v>
      </c>
      <c r="E22" s="7"/>
      <c r="F22" s="7"/>
      <c r="G22" s="7"/>
      <c r="H22" s="535">
        <f>G22*$H$17</f>
        <v>0</v>
      </c>
      <c r="I22" s="9"/>
      <c r="J22" s="9"/>
      <c r="K22" s="9"/>
      <c r="L22" s="9"/>
      <c r="M22" s="9"/>
      <c r="N22" s="9"/>
      <c r="O22" s="9"/>
      <c r="P22" s="9"/>
      <c r="Q22" s="9"/>
      <c r="R22" s="9"/>
      <c r="S22" s="9"/>
      <c r="T22" s="9"/>
      <c r="U22" s="9"/>
      <c r="V22" s="9"/>
      <c r="W22" s="9"/>
      <c r="X22" s="9"/>
      <c r="Y22" s="9"/>
      <c r="Z22" s="9"/>
      <c r="AA22" s="9"/>
    </row>
    <row r="23" spans="1:27">
      <c r="A23" s="9"/>
      <c r="B23" s="14"/>
      <c r="C23" s="220" t="s">
        <v>145</v>
      </c>
      <c r="D23" s="534">
        <f>Exploration!H24</f>
        <v>45678.840000000004</v>
      </c>
      <c r="E23" s="7"/>
      <c r="F23" s="7"/>
      <c r="G23" s="7"/>
      <c r="H23" s="535">
        <f>G23*$H$17</f>
        <v>0</v>
      </c>
      <c r="I23" s="9"/>
      <c r="J23" s="9"/>
      <c r="K23" s="9"/>
      <c r="L23" s="9"/>
      <c r="M23" s="9"/>
      <c r="N23" s="9"/>
      <c r="O23" s="9"/>
      <c r="P23" s="9"/>
      <c r="Q23" s="9"/>
      <c r="R23" s="9"/>
      <c r="S23" s="9"/>
      <c r="T23" s="9"/>
      <c r="U23" s="9"/>
      <c r="V23" s="9"/>
      <c r="W23" s="9"/>
      <c r="X23" s="9"/>
      <c r="Y23" s="9"/>
      <c r="Z23" s="9"/>
      <c r="AA23" s="9"/>
    </row>
    <row r="24" spans="1:27">
      <c r="A24" s="9"/>
      <c r="B24" s="14"/>
      <c r="C24" s="9"/>
      <c r="D24" s="9"/>
      <c r="E24" s="9"/>
      <c r="F24" s="9"/>
      <c r="G24" s="9"/>
      <c r="H24" s="14"/>
      <c r="I24" s="9"/>
      <c r="J24" s="9"/>
      <c r="K24" s="9"/>
      <c r="L24" s="9"/>
      <c r="M24" s="9"/>
      <c r="N24" s="9"/>
      <c r="O24" s="9"/>
      <c r="P24" s="9"/>
      <c r="Q24" s="9"/>
      <c r="R24" s="9"/>
      <c r="S24" s="9"/>
      <c r="T24" s="9"/>
      <c r="U24" s="9"/>
      <c r="V24" s="9"/>
      <c r="W24" s="9"/>
      <c r="X24" s="9"/>
      <c r="Y24" s="9"/>
      <c r="Z24" s="9"/>
      <c r="AA24" s="9"/>
    </row>
    <row r="25" spans="1:27">
      <c r="A25" s="9"/>
      <c r="B25" s="220" t="s">
        <v>146</v>
      </c>
      <c r="C25" s="7" t="s">
        <v>138</v>
      </c>
      <c r="D25" s="9"/>
      <c r="E25" s="9"/>
      <c r="F25" s="9"/>
      <c r="G25" s="9"/>
      <c r="H25" s="14"/>
      <c r="I25" s="9"/>
      <c r="J25" s="9"/>
      <c r="K25" s="9"/>
      <c r="L25" s="9"/>
      <c r="M25" s="9"/>
      <c r="N25" s="9"/>
      <c r="O25" s="9"/>
      <c r="P25" s="9"/>
      <c r="Q25" s="9"/>
      <c r="R25" s="9"/>
      <c r="S25" s="9"/>
      <c r="T25" s="9"/>
      <c r="U25" s="9"/>
      <c r="V25" s="9"/>
      <c r="W25" s="9"/>
      <c r="X25" s="9"/>
      <c r="Y25" s="9"/>
      <c r="Z25" s="9"/>
      <c r="AA25" s="9"/>
    </row>
    <row r="26" spans="1:27">
      <c r="A26" s="9"/>
      <c r="B26" s="14"/>
      <c r="C26" s="9"/>
      <c r="D26" s="9"/>
      <c r="E26" s="9"/>
      <c r="F26" s="9"/>
      <c r="G26" s="9"/>
      <c r="H26" s="14"/>
      <c r="I26" s="9"/>
      <c r="J26" s="9"/>
      <c r="K26" s="9"/>
      <c r="L26" s="9"/>
      <c r="M26" s="9"/>
      <c r="N26" s="9"/>
      <c r="O26" s="9"/>
      <c r="P26" s="9"/>
      <c r="Q26" s="9"/>
      <c r="R26" s="9"/>
      <c r="S26" s="9"/>
      <c r="T26" s="9"/>
      <c r="U26" s="9"/>
      <c r="V26" s="9"/>
      <c r="W26" s="9"/>
      <c r="X26" s="9"/>
      <c r="Y26" s="9"/>
      <c r="Z26" s="9"/>
      <c r="AA26" s="9"/>
    </row>
    <row r="27" spans="1:27">
      <c r="A27" s="9"/>
      <c r="B27" s="14"/>
      <c r="C27" s="14" t="s">
        <v>966</v>
      </c>
      <c r="D27" s="9"/>
      <c r="E27" s="7">
        <v>2023</v>
      </c>
      <c r="F27" s="14" t="s">
        <v>971</v>
      </c>
      <c r="G27" s="9"/>
      <c r="H27" s="517">
        <f>$G$3/VLOOKUP(E27,'Selected Economics'!$N$11:$P$84,2)</f>
        <v>1</v>
      </c>
      <c r="I27" s="9"/>
      <c r="J27" s="9"/>
      <c r="K27" s="9"/>
      <c r="L27" s="9"/>
      <c r="M27" s="9"/>
      <c r="N27" s="9"/>
      <c r="O27" s="9"/>
      <c r="P27" s="9"/>
      <c r="Q27" s="9"/>
      <c r="R27" s="9"/>
      <c r="S27" s="9"/>
      <c r="T27" s="9"/>
      <c r="U27" s="9"/>
      <c r="V27" s="9"/>
      <c r="W27" s="9"/>
      <c r="X27" s="9"/>
      <c r="Y27" s="9"/>
      <c r="Z27" s="9"/>
      <c r="AA27" s="9"/>
    </row>
    <row r="28" spans="1:27">
      <c r="A28" s="9"/>
      <c r="B28" s="14"/>
      <c r="C28" s="9"/>
      <c r="D28" s="9"/>
      <c r="E28" s="9"/>
      <c r="F28" s="9"/>
      <c r="G28" s="9"/>
      <c r="H28" s="14"/>
      <c r="I28" s="9"/>
      <c r="J28" s="9"/>
      <c r="K28" s="9"/>
      <c r="L28" s="9"/>
      <c r="M28" s="9"/>
      <c r="N28" s="9"/>
      <c r="O28" s="9"/>
      <c r="P28" s="9"/>
      <c r="Q28" s="9"/>
      <c r="R28" s="9"/>
      <c r="S28" s="9"/>
      <c r="T28" s="9"/>
      <c r="U28" s="9"/>
      <c r="V28" s="9"/>
      <c r="W28" s="9"/>
      <c r="X28" s="9"/>
      <c r="Y28" s="9"/>
      <c r="Z28" s="9"/>
      <c r="AA28" s="9"/>
    </row>
    <row r="29" spans="1:27" ht="14.25" customHeight="1">
      <c r="A29" s="9"/>
      <c r="B29" s="14"/>
      <c r="C29" s="316"/>
      <c r="D29" s="316"/>
      <c r="E29" s="219" t="s">
        <v>139</v>
      </c>
      <c r="F29" s="626" t="s">
        <v>989</v>
      </c>
      <c r="G29" s="219" t="s">
        <v>140</v>
      </c>
      <c r="H29" s="626" t="s">
        <v>967</v>
      </c>
      <c r="I29" s="9"/>
      <c r="J29" s="9"/>
      <c r="K29" s="9"/>
      <c r="L29" s="9"/>
      <c r="M29" s="9"/>
      <c r="N29" s="9"/>
      <c r="O29" s="9"/>
      <c r="P29" s="9"/>
      <c r="Q29" s="9"/>
      <c r="R29" s="9"/>
      <c r="S29" s="9"/>
      <c r="T29" s="9"/>
      <c r="U29" s="9"/>
      <c r="V29" s="9"/>
      <c r="W29" s="9"/>
      <c r="X29" s="9"/>
      <c r="Y29" s="9"/>
      <c r="Z29" s="9"/>
      <c r="AA29" s="9"/>
    </row>
    <row r="30" spans="1:27">
      <c r="A30" s="9"/>
      <c r="B30" s="9"/>
      <c r="C30" s="317"/>
      <c r="D30" s="317"/>
      <c r="E30" s="514" t="s">
        <v>141</v>
      </c>
      <c r="F30" s="627"/>
      <c r="G30" s="514" t="s">
        <v>42</v>
      </c>
      <c r="H30" s="627"/>
      <c r="I30" s="9"/>
      <c r="J30" s="9"/>
      <c r="K30" s="9"/>
      <c r="L30" s="9"/>
      <c r="M30" s="9"/>
      <c r="N30" s="9"/>
      <c r="O30" s="9"/>
      <c r="P30" s="9"/>
      <c r="Q30" s="9"/>
      <c r="R30" s="9"/>
      <c r="S30" s="9"/>
      <c r="T30" s="9"/>
      <c r="U30" s="9"/>
      <c r="V30" s="9"/>
      <c r="W30" s="9"/>
      <c r="X30" s="9"/>
      <c r="Y30" s="9"/>
      <c r="Z30" s="9"/>
      <c r="AA30" s="9"/>
    </row>
    <row r="31" spans="1:27">
      <c r="A31" s="9"/>
      <c r="B31" s="9"/>
      <c r="C31" s="318"/>
      <c r="D31" s="318"/>
      <c r="E31" s="500" t="s">
        <v>142</v>
      </c>
      <c r="F31" s="628"/>
      <c r="G31" s="500" t="str">
        <f>"(K$ "&amp;E27&amp;")"</f>
        <v>(K$ 2023)</v>
      </c>
      <c r="H31" s="500" t="str">
        <f>"(K$ "&amp;$G$2&amp;")"</f>
        <v>(K$ 2023)</v>
      </c>
      <c r="I31" s="9"/>
      <c r="J31" s="9"/>
      <c r="K31" s="9"/>
      <c r="L31" s="9"/>
      <c r="M31" s="9"/>
      <c r="N31" s="9"/>
      <c r="O31" s="9"/>
      <c r="P31" s="9"/>
      <c r="Q31" s="9"/>
      <c r="R31" s="9"/>
      <c r="S31" s="9"/>
      <c r="T31" s="9"/>
      <c r="U31" s="9"/>
      <c r="V31" s="9"/>
      <c r="W31" s="9"/>
      <c r="X31" s="9"/>
      <c r="Y31" s="9"/>
      <c r="Z31" s="9"/>
      <c r="AA31" s="9"/>
    </row>
    <row r="32" spans="1:27">
      <c r="A32" s="9"/>
      <c r="B32" s="9"/>
      <c r="C32" s="220" t="s">
        <v>147</v>
      </c>
      <c r="D32" s="511">
        <f>Exploration!H25</f>
        <v>45901.440000000002</v>
      </c>
      <c r="E32" s="7"/>
      <c r="F32" s="7"/>
      <c r="G32" s="25"/>
      <c r="H32" s="535">
        <f>G32*$H$27</f>
        <v>0</v>
      </c>
      <c r="I32" s="9"/>
      <c r="J32" s="9"/>
      <c r="K32" s="9"/>
      <c r="L32" s="9"/>
      <c r="M32" s="9"/>
      <c r="N32" s="9"/>
      <c r="O32" s="9"/>
      <c r="P32" s="9"/>
      <c r="Q32" s="9"/>
      <c r="R32" s="9"/>
      <c r="S32" s="9"/>
      <c r="T32" s="9"/>
      <c r="U32" s="9"/>
      <c r="V32" s="9"/>
      <c r="W32" s="9"/>
      <c r="X32" s="9"/>
      <c r="Y32" s="9"/>
      <c r="Z32" s="9"/>
      <c r="AA32" s="9"/>
    </row>
    <row r="33" spans="1:27">
      <c r="A33" s="9"/>
      <c r="B33" s="9"/>
      <c r="C33" s="220" t="s">
        <v>148</v>
      </c>
      <c r="D33" s="511">
        <f>Exploration!H26</f>
        <v>46062.280000000006</v>
      </c>
      <c r="E33" s="7"/>
      <c r="F33" s="7"/>
      <c r="G33" s="25"/>
      <c r="H33" s="535">
        <f t="shared" ref="H33:H36" si="0">G33*$H$27</f>
        <v>0</v>
      </c>
      <c r="I33" s="9"/>
      <c r="J33" s="9"/>
      <c r="K33" s="9"/>
      <c r="L33" s="9"/>
      <c r="M33" s="9"/>
      <c r="N33" s="9"/>
      <c r="O33" s="9"/>
      <c r="P33" s="9"/>
      <c r="Q33" s="9"/>
      <c r="R33" s="9"/>
      <c r="S33" s="9"/>
      <c r="T33" s="9"/>
      <c r="U33" s="9"/>
      <c r="V33" s="9"/>
      <c r="W33" s="9"/>
      <c r="X33" s="9"/>
      <c r="Y33" s="9"/>
      <c r="Z33" s="9"/>
      <c r="AA33" s="9"/>
    </row>
    <row r="34" spans="1:27">
      <c r="A34" s="9"/>
      <c r="B34" s="9"/>
      <c r="C34" s="220" t="s">
        <v>149</v>
      </c>
      <c r="D34" s="511">
        <f>Exploration!H27</f>
        <v>46223.12000000001</v>
      </c>
      <c r="E34" s="7"/>
      <c r="F34" s="7"/>
      <c r="G34" s="25"/>
      <c r="H34" s="535">
        <f t="shared" si="0"/>
        <v>0</v>
      </c>
      <c r="I34" s="9"/>
      <c r="J34" s="9"/>
      <c r="K34" s="9"/>
      <c r="L34" s="9"/>
      <c r="M34" s="9"/>
      <c r="N34" s="9"/>
      <c r="O34" s="9"/>
      <c r="P34" s="9"/>
      <c r="Q34" s="9"/>
      <c r="R34" s="9"/>
      <c r="S34" s="9"/>
      <c r="T34" s="9"/>
      <c r="U34" s="9"/>
      <c r="V34" s="9"/>
      <c r="W34" s="9"/>
      <c r="X34" s="9"/>
      <c r="Y34" s="9"/>
      <c r="Z34" s="9"/>
      <c r="AA34" s="9"/>
    </row>
    <row r="35" spans="1:27">
      <c r="A35" s="9"/>
      <c r="B35" s="9"/>
      <c r="C35" s="220" t="s">
        <v>150</v>
      </c>
      <c r="D35" s="511">
        <f>Exploration!H28</f>
        <v>46288.560000000012</v>
      </c>
      <c r="E35" s="7"/>
      <c r="F35" s="7"/>
      <c r="G35" s="25"/>
      <c r="H35" s="535">
        <f t="shared" si="0"/>
        <v>0</v>
      </c>
      <c r="I35" s="9"/>
      <c r="J35" s="9"/>
      <c r="K35" s="9"/>
      <c r="L35" s="9"/>
      <c r="M35" s="9"/>
      <c r="N35" s="9"/>
      <c r="O35" s="9"/>
      <c r="P35" s="9"/>
      <c r="Q35" s="9"/>
      <c r="R35" s="9"/>
      <c r="S35" s="9"/>
      <c r="T35" s="9"/>
      <c r="U35" s="9"/>
      <c r="V35" s="9"/>
      <c r="W35" s="9"/>
      <c r="X35" s="9"/>
      <c r="Y35" s="9"/>
      <c r="Z35" s="9"/>
      <c r="AA35" s="9"/>
    </row>
    <row r="36" spans="1:27">
      <c r="A36" s="9"/>
      <c r="B36" s="9"/>
      <c r="C36" s="220" t="s">
        <v>151</v>
      </c>
      <c r="D36" s="511">
        <f>Exploration!H29</f>
        <v>46288.560000000012</v>
      </c>
      <c r="E36" s="7"/>
      <c r="F36" s="7"/>
      <c r="G36" s="25"/>
      <c r="H36" s="535">
        <f t="shared" si="0"/>
        <v>0</v>
      </c>
      <c r="I36" s="9"/>
      <c r="J36" s="9"/>
      <c r="K36" s="9"/>
      <c r="L36" s="9"/>
      <c r="M36" s="9"/>
      <c r="N36" s="9"/>
      <c r="O36" s="9"/>
      <c r="P36" s="9"/>
      <c r="Q36" s="9"/>
      <c r="R36" s="9"/>
      <c r="S36" s="9"/>
      <c r="T36" s="9"/>
      <c r="U36" s="9"/>
      <c r="V36" s="9"/>
      <c r="W36" s="9"/>
      <c r="X36" s="9"/>
      <c r="Y36" s="9"/>
      <c r="Z36" s="9"/>
      <c r="AA36" s="9"/>
    </row>
    <row r="37" spans="1:27">
      <c r="A37" s="9"/>
      <c r="B37" s="9"/>
      <c r="C37" s="9"/>
      <c r="D37" s="9"/>
      <c r="E37" s="9"/>
      <c r="F37" s="9"/>
      <c r="G37" s="9"/>
      <c r="H37" s="406"/>
      <c r="I37" s="9"/>
      <c r="J37" s="9"/>
      <c r="K37" s="9"/>
      <c r="L37" s="9"/>
      <c r="M37" s="9"/>
      <c r="N37" s="9"/>
      <c r="O37" s="9"/>
      <c r="P37" s="9"/>
      <c r="Q37" s="9"/>
      <c r="R37" s="9"/>
      <c r="S37" s="9"/>
      <c r="T37" s="9"/>
      <c r="U37" s="9"/>
      <c r="V37" s="9"/>
      <c r="W37" s="9"/>
      <c r="X37" s="9"/>
      <c r="Y37" s="9"/>
      <c r="Z37" s="9"/>
      <c r="AA37" s="9"/>
    </row>
    <row r="38" spans="1:27">
      <c r="A38" s="9"/>
      <c r="B38" s="9"/>
      <c r="C38" s="9"/>
      <c r="D38" s="9"/>
      <c r="E38" s="9"/>
      <c r="F38" s="9"/>
      <c r="G38" s="9"/>
      <c r="H38" s="9"/>
      <c r="I38" s="9"/>
      <c r="J38" s="9"/>
      <c r="K38" s="9"/>
      <c r="L38" s="9"/>
      <c r="M38" s="9"/>
      <c r="N38" s="9"/>
      <c r="O38" s="9"/>
      <c r="P38" s="9"/>
      <c r="Q38" s="9"/>
      <c r="R38" s="9"/>
      <c r="S38" s="9"/>
      <c r="T38" s="9"/>
      <c r="U38" s="9"/>
      <c r="V38" s="9"/>
      <c r="W38" s="9"/>
      <c r="X38" s="9"/>
      <c r="Y38" s="9"/>
      <c r="Z38" s="9"/>
      <c r="AA38" s="9"/>
    </row>
    <row r="39" spans="1:27">
      <c r="A39" s="9"/>
      <c r="B39" s="9"/>
      <c r="C39" s="9"/>
      <c r="D39" s="9"/>
      <c r="E39" s="9"/>
      <c r="F39" s="9"/>
      <c r="G39" s="9"/>
      <c r="H39" s="9"/>
      <c r="I39" s="9"/>
      <c r="J39" s="9"/>
      <c r="K39" s="9"/>
      <c r="L39" s="9"/>
      <c r="M39" s="9"/>
      <c r="N39" s="9"/>
      <c r="O39" s="9"/>
      <c r="P39" s="9"/>
      <c r="Q39" s="9"/>
      <c r="R39" s="9"/>
      <c r="S39" s="9"/>
      <c r="T39" s="9"/>
      <c r="U39" s="9"/>
      <c r="V39" s="9"/>
      <c r="W39" s="9"/>
      <c r="X39" s="9"/>
      <c r="Y39" s="9"/>
      <c r="Z39" s="9"/>
      <c r="AA39" s="9"/>
    </row>
    <row r="40" spans="1:27">
      <c r="A40" s="9"/>
      <c r="B40" s="9"/>
      <c r="C40" s="9"/>
      <c r="D40" s="9"/>
      <c r="E40" s="9"/>
      <c r="F40" s="9"/>
      <c r="G40" s="9"/>
      <c r="H40" s="9"/>
      <c r="I40" s="9"/>
      <c r="J40" s="9"/>
      <c r="K40" s="9"/>
      <c r="L40" s="9"/>
      <c r="M40" s="9"/>
      <c r="N40" s="9"/>
      <c r="O40" s="9"/>
      <c r="P40" s="9"/>
      <c r="Q40" s="9"/>
      <c r="R40" s="9"/>
      <c r="S40" s="9"/>
      <c r="T40" s="9"/>
      <c r="U40" s="9"/>
      <c r="V40" s="9"/>
      <c r="W40" s="9"/>
      <c r="X40" s="9"/>
      <c r="Y40" s="9"/>
      <c r="Z40" s="9"/>
      <c r="AA40" s="9"/>
    </row>
    <row r="41" spans="1:27">
      <c r="A41" s="9"/>
      <c r="B41" s="9"/>
      <c r="C41" s="9"/>
      <c r="D41" s="9"/>
      <c r="E41" s="9"/>
      <c r="F41" s="9"/>
      <c r="G41" s="9"/>
      <c r="H41" s="9"/>
      <c r="I41" s="9"/>
      <c r="J41" s="9"/>
      <c r="K41" s="9"/>
      <c r="L41" s="9"/>
      <c r="M41" s="9"/>
      <c r="N41" s="9"/>
      <c r="O41" s="9"/>
      <c r="P41" s="9"/>
      <c r="Q41" s="9"/>
      <c r="R41" s="9"/>
      <c r="S41" s="9"/>
      <c r="T41" s="9"/>
      <c r="U41" s="9"/>
      <c r="V41" s="9"/>
      <c r="W41" s="9"/>
      <c r="X41" s="9"/>
      <c r="Y41" s="9"/>
      <c r="Z41" s="9"/>
      <c r="AA41" s="9"/>
    </row>
    <row r="42" spans="1:27">
      <c r="A42" s="9"/>
      <c r="B42" s="9"/>
      <c r="C42" s="9"/>
      <c r="D42" s="9"/>
      <c r="E42" s="9"/>
      <c r="F42" s="9"/>
      <c r="G42" s="9"/>
      <c r="H42" s="9"/>
      <c r="I42" s="9"/>
      <c r="J42" s="9"/>
      <c r="K42" s="9"/>
      <c r="L42" s="9"/>
      <c r="M42" s="9"/>
      <c r="N42" s="9"/>
      <c r="O42" s="9"/>
      <c r="P42" s="9"/>
      <c r="Q42" s="9"/>
      <c r="R42" s="9"/>
      <c r="S42" s="9"/>
      <c r="T42" s="9"/>
      <c r="U42" s="9"/>
      <c r="V42" s="9"/>
      <c r="W42" s="9"/>
      <c r="X42" s="9"/>
      <c r="Y42" s="9"/>
      <c r="Z42" s="9"/>
      <c r="AA42" s="9"/>
    </row>
    <row r="43" spans="1:27">
      <c r="A43" s="9"/>
      <c r="B43" s="9"/>
      <c r="C43" s="9"/>
      <c r="D43" s="9"/>
      <c r="E43" s="9"/>
      <c r="F43" s="9"/>
      <c r="G43" s="9"/>
      <c r="H43" s="9"/>
      <c r="I43" s="9"/>
      <c r="J43" s="9"/>
      <c r="K43" s="9"/>
      <c r="L43" s="9"/>
      <c r="M43" s="9"/>
      <c r="N43" s="9"/>
      <c r="O43" s="9"/>
      <c r="P43" s="9"/>
      <c r="Q43" s="9"/>
      <c r="R43" s="9"/>
      <c r="S43" s="9"/>
      <c r="T43" s="9"/>
      <c r="U43" s="9"/>
      <c r="V43" s="9"/>
      <c r="W43" s="9"/>
      <c r="X43" s="9"/>
      <c r="Y43" s="9"/>
      <c r="Z43" s="9"/>
      <c r="AA43" s="9"/>
    </row>
    <row r="44" spans="1:27">
      <c r="A44" s="9"/>
      <c r="B44" s="9"/>
      <c r="C44" s="9"/>
      <c r="D44" s="9"/>
      <c r="E44" s="9"/>
      <c r="F44" s="9"/>
      <c r="G44" s="9"/>
      <c r="H44" s="9"/>
      <c r="I44" s="9"/>
      <c r="J44" s="9"/>
      <c r="K44" s="9"/>
      <c r="L44" s="9"/>
      <c r="M44" s="9"/>
      <c r="N44" s="9"/>
      <c r="O44" s="9"/>
      <c r="P44" s="9"/>
      <c r="Q44" s="9"/>
      <c r="R44" s="9"/>
      <c r="S44" s="9"/>
      <c r="T44" s="9"/>
      <c r="U44" s="9"/>
      <c r="V44" s="9"/>
      <c r="W44" s="9"/>
      <c r="X44" s="9"/>
      <c r="Y44" s="9"/>
      <c r="Z44" s="9"/>
      <c r="AA44" s="9"/>
    </row>
    <row r="45" spans="1:27">
      <c r="A45" s="9"/>
      <c r="B45" s="9"/>
      <c r="C45" s="9"/>
      <c r="D45" s="9"/>
      <c r="E45" s="9"/>
      <c r="F45" s="9"/>
      <c r="G45" s="9"/>
      <c r="H45" s="9"/>
      <c r="I45" s="9"/>
      <c r="J45" s="9"/>
      <c r="K45" s="9"/>
      <c r="L45" s="9"/>
      <c r="M45" s="9"/>
      <c r="N45" s="9"/>
      <c r="O45" s="9"/>
      <c r="P45" s="9"/>
      <c r="Q45" s="9"/>
      <c r="R45" s="9"/>
      <c r="S45" s="9"/>
      <c r="T45" s="9"/>
      <c r="U45" s="9"/>
      <c r="V45" s="9"/>
      <c r="W45" s="9"/>
      <c r="X45" s="9"/>
      <c r="Y45" s="9"/>
      <c r="Z45" s="9"/>
      <c r="AA45" s="9"/>
    </row>
    <row r="46" spans="1:27">
      <c r="A46" s="9"/>
      <c r="B46" s="9"/>
      <c r="C46" s="9"/>
      <c r="D46" s="9"/>
      <c r="E46" s="9"/>
      <c r="F46" s="9"/>
      <c r="G46" s="9"/>
      <c r="H46" s="9"/>
      <c r="I46" s="9"/>
      <c r="J46" s="9"/>
      <c r="K46" s="9"/>
      <c r="L46" s="9"/>
      <c r="M46" s="9"/>
      <c r="N46" s="9"/>
      <c r="O46" s="9"/>
      <c r="P46" s="9"/>
      <c r="Q46" s="9"/>
      <c r="R46" s="9"/>
      <c r="S46" s="9"/>
      <c r="T46" s="9"/>
      <c r="U46" s="9"/>
      <c r="V46" s="9"/>
      <c r="W46" s="9"/>
      <c r="X46" s="9"/>
      <c r="Y46" s="9"/>
      <c r="Z46" s="9"/>
      <c r="AA46" s="9"/>
    </row>
    <row r="47" spans="1:27">
      <c r="A47" s="9"/>
      <c r="B47" s="9"/>
      <c r="C47" s="9"/>
      <c r="D47" s="9"/>
      <c r="E47" s="9"/>
      <c r="F47" s="9"/>
      <c r="G47" s="9"/>
      <c r="H47" s="9"/>
      <c r="I47" s="9"/>
      <c r="J47" s="9"/>
      <c r="K47" s="9"/>
      <c r="L47" s="9"/>
      <c r="M47" s="9"/>
      <c r="N47" s="9"/>
      <c r="O47" s="9"/>
      <c r="P47" s="9"/>
      <c r="Q47" s="9"/>
      <c r="R47" s="9"/>
      <c r="S47" s="9"/>
      <c r="T47" s="9"/>
      <c r="U47" s="9"/>
      <c r="V47" s="9"/>
      <c r="W47" s="9"/>
      <c r="X47" s="9"/>
      <c r="Y47" s="9"/>
      <c r="Z47" s="9"/>
      <c r="AA47" s="9"/>
    </row>
    <row r="48" spans="1:27">
      <c r="A48" s="9"/>
      <c r="B48" s="9"/>
      <c r="C48" s="9"/>
      <c r="D48" s="9"/>
      <c r="E48" s="9"/>
      <c r="F48" s="9"/>
      <c r="G48" s="9"/>
      <c r="H48" s="9"/>
      <c r="I48" s="9"/>
      <c r="J48" s="9"/>
      <c r="K48" s="9"/>
      <c r="L48" s="9"/>
      <c r="M48" s="9"/>
      <c r="N48" s="9"/>
      <c r="O48" s="9"/>
      <c r="P48" s="9"/>
      <c r="Q48" s="9"/>
      <c r="R48" s="9"/>
      <c r="S48" s="9"/>
      <c r="T48" s="9"/>
      <c r="U48" s="9"/>
      <c r="V48" s="9"/>
      <c r="W48" s="9"/>
      <c r="X48" s="9"/>
      <c r="Y48" s="9"/>
      <c r="Z48" s="9"/>
      <c r="AA48" s="9"/>
    </row>
    <row r="49" spans="1:27">
      <c r="A49" s="9"/>
      <c r="B49" s="9"/>
      <c r="C49" s="9"/>
      <c r="D49" s="9"/>
      <c r="E49" s="9"/>
      <c r="F49" s="9"/>
      <c r="G49" s="9"/>
      <c r="H49" s="9"/>
      <c r="I49" s="9"/>
      <c r="J49" s="9"/>
      <c r="K49" s="9"/>
      <c r="L49" s="9"/>
      <c r="M49" s="9"/>
      <c r="N49" s="9"/>
      <c r="O49" s="9"/>
      <c r="P49" s="9"/>
      <c r="Q49" s="9"/>
      <c r="R49" s="9"/>
      <c r="S49" s="9"/>
      <c r="T49" s="9"/>
      <c r="U49" s="9"/>
      <c r="V49" s="9"/>
      <c r="W49" s="9"/>
      <c r="X49" s="9"/>
      <c r="Y49" s="9"/>
      <c r="Z49" s="9"/>
      <c r="AA49" s="9"/>
    </row>
    <row r="50" spans="1:27">
      <c r="A50" s="9"/>
      <c r="B50" s="9"/>
      <c r="C50" s="9"/>
      <c r="D50" s="9"/>
      <c r="E50" s="9"/>
      <c r="F50" s="9"/>
      <c r="G50" s="9"/>
      <c r="H50" s="9"/>
      <c r="I50" s="9"/>
      <c r="J50" s="9"/>
      <c r="K50" s="9"/>
      <c r="L50" s="9"/>
      <c r="M50" s="9"/>
      <c r="N50" s="9"/>
      <c r="O50" s="9"/>
      <c r="P50" s="9"/>
      <c r="Q50" s="9"/>
      <c r="R50" s="9"/>
      <c r="S50" s="9"/>
      <c r="T50" s="9"/>
      <c r="U50" s="9"/>
      <c r="V50" s="9"/>
      <c r="W50" s="9"/>
      <c r="X50" s="9"/>
      <c r="Y50" s="9"/>
      <c r="Z50" s="9"/>
      <c r="AA50" s="9"/>
    </row>
    <row r="51" spans="1:27">
      <c r="A51" s="9"/>
      <c r="B51" s="9"/>
      <c r="C51" s="9"/>
      <c r="D51" s="9"/>
      <c r="E51" s="9"/>
      <c r="F51" s="9"/>
      <c r="G51" s="9"/>
      <c r="H51" s="9"/>
      <c r="I51" s="9"/>
      <c r="J51" s="9"/>
      <c r="K51" s="9"/>
      <c r="L51" s="9"/>
      <c r="M51" s="9"/>
      <c r="N51" s="9"/>
      <c r="O51" s="9"/>
      <c r="P51" s="9"/>
      <c r="Q51" s="9"/>
      <c r="R51" s="9"/>
      <c r="S51" s="9"/>
      <c r="T51" s="9"/>
      <c r="U51" s="9"/>
      <c r="V51" s="9"/>
      <c r="W51" s="9"/>
      <c r="X51" s="9"/>
      <c r="Y51" s="9"/>
      <c r="Z51" s="9"/>
      <c r="AA51" s="9"/>
    </row>
    <row r="52" spans="1:27">
      <c r="A52" s="9"/>
      <c r="B52" s="9"/>
      <c r="C52" s="9"/>
      <c r="D52" s="9"/>
      <c r="E52" s="9"/>
      <c r="F52" s="9"/>
      <c r="G52" s="9"/>
      <c r="H52" s="9"/>
      <c r="I52" s="9"/>
      <c r="J52" s="9"/>
      <c r="K52" s="9"/>
      <c r="L52" s="9"/>
      <c r="M52" s="9"/>
      <c r="N52" s="9"/>
      <c r="O52" s="9"/>
      <c r="P52" s="9"/>
      <c r="Q52" s="9"/>
      <c r="R52" s="9"/>
      <c r="S52" s="9"/>
      <c r="T52" s="9"/>
      <c r="U52" s="9"/>
      <c r="V52" s="9"/>
      <c r="W52" s="9"/>
      <c r="X52" s="9"/>
      <c r="Y52" s="9"/>
      <c r="Z52" s="9"/>
      <c r="AA52" s="9"/>
    </row>
    <row r="53" spans="1:27">
      <c r="A53" s="9"/>
      <c r="B53" s="9"/>
      <c r="C53" s="9"/>
      <c r="D53" s="9"/>
      <c r="E53" s="9"/>
      <c r="F53" s="9"/>
      <c r="G53" s="9"/>
      <c r="H53" s="9"/>
      <c r="I53" s="9"/>
      <c r="J53" s="9"/>
      <c r="K53" s="9"/>
      <c r="L53" s="9"/>
      <c r="M53" s="9"/>
      <c r="N53" s="9"/>
      <c r="O53" s="9"/>
      <c r="P53" s="9"/>
      <c r="Q53" s="9"/>
      <c r="R53" s="9"/>
      <c r="S53" s="9"/>
      <c r="T53" s="9"/>
      <c r="U53" s="9"/>
      <c r="V53" s="9"/>
      <c r="W53" s="9"/>
      <c r="X53" s="9"/>
      <c r="Y53" s="9"/>
      <c r="Z53" s="9"/>
      <c r="AA53" s="9"/>
    </row>
    <row r="54" spans="1:27">
      <c r="A54" s="9"/>
      <c r="B54" s="9"/>
      <c r="C54" s="9"/>
      <c r="D54" s="9"/>
      <c r="E54" s="9"/>
      <c r="F54" s="9"/>
      <c r="G54" s="9"/>
      <c r="H54" s="9"/>
      <c r="I54" s="9"/>
      <c r="J54" s="9"/>
      <c r="K54" s="9"/>
      <c r="L54" s="9"/>
      <c r="M54" s="9"/>
      <c r="N54" s="9"/>
      <c r="O54" s="9"/>
      <c r="P54" s="9"/>
      <c r="Q54" s="9"/>
      <c r="R54" s="9"/>
      <c r="S54" s="9"/>
      <c r="T54" s="9"/>
      <c r="U54" s="9"/>
      <c r="V54" s="9"/>
      <c r="W54" s="9"/>
      <c r="X54" s="9"/>
      <c r="Y54" s="9"/>
      <c r="Z54" s="9"/>
      <c r="AA54" s="9"/>
    </row>
    <row r="55" spans="1:27">
      <c r="A55" s="9"/>
      <c r="B55" s="9"/>
      <c r="C55" s="9"/>
      <c r="D55" s="9"/>
      <c r="E55" s="9"/>
      <c r="F55" s="9"/>
      <c r="G55" s="9"/>
      <c r="H55" s="9"/>
      <c r="I55" s="9"/>
      <c r="J55" s="9"/>
      <c r="K55" s="9"/>
      <c r="L55" s="9"/>
      <c r="M55" s="9"/>
      <c r="N55" s="9"/>
      <c r="O55" s="9"/>
      <c r="P55" s="9"/>
      <c r="Q55" s="9"/>
      <c r="R55" s="9"/>
      <c r="S55" s="9"/>
      <c r="T55" s="9"/>
      <c r="U55" s="9"/>
      <c r="V55" s="9"/>
      <c r="W55" s="9"/>
      <c r="X55" s="9"/>
      <c r="Y55" s="9"/>
      <c r="Z55" s="9"/>
      <c r="AA55" s="9"/>
    </row>
    <row r="56" spans="1:27">
      <c r="A56" s="9"/>
      <c r="B56" s="9"/>
      <c r="C56" s="9"/>
      <c r="D56" s="9"/>
      <c r="E56" s="9"/>
      <c r="F56" s="9"/>
      <c r="G56" s="9"/>
      <c r="H56" s="9"/>
      <c r="I56" s="9"/>
      <c r="J56" s="9"/>
      <c r="K56" s="9"/>
      <c r="L56" s="9"/>
      <c r="M56" s="9"/>
      <c r="N56" s="9"/>
      <c r="O56" s="9"/>
      <c r="P56" s="9"/>
      <c r="Q56" s="9"/>
      <c r="R56" s="9"/>
      <c r="S56" s="9"/>
      <c r="T56" s="9"/>
      <c r="U56" s="9"/>
      <c r="V56" s="9"/>
      <c r="W56" s="9"/>
      <c r="X56" s="9"/>
      <c r="Y56" s="9"/>
      <c r="Z56" s="9"/>
      <c r="AA56" s="9"/>
    </row>
    <row r="57" spans="1:27">
      <c r="A57" s="9"/>
      <c r="B57" s="9"/>
      <c r="C57" s="9"/>
      <c r="D57" s="9"/>
      <c r="E57" s="9"/>
      <c r="F57" s="9"/>
      <c r="G57" s="9"/>
      <c r="H57" s="9"/>
      <c r="I57" s="9"/>
      <c r="J57" s="9"/>
      <c r="K57" s="9"/>
      <c r="L57" s="9"/>
      <c r="M57" s="9"/>
      <c r="N57" s="9"/>
      <c r="O57" s="9"/>
      <c r="P57" s="9"/>
      <c r="Q57" s="9"/>
      <c r="R57" s="9"/>
      <c r="S57" s="9"/>
      <c r="T57" s="9"/>
      <c r="U57" s="9"/>
      <c r="V57" s="9"/>
      <c r="W57" s="9"/>
      <c r="X57" s="9"/>
      <c r="Y57" s="9"/>
      <c r="Z57" s="9"/>
      <c r="AA57" s="9"/>
    </row>
    <row r="58" spans="1:27">
      <c r="A58" s="9"/>
      <c r="B58" s="9"/>
      <c r="C58" s="9"/>
      <c r="D58" s="9"/>
      <c r="E58" s="9"/>
      <c r="F58" s="9"/>
      <c r="G58" s="9"/>
      <c r="H58" s="9"/>
      <c r="I58" s="9"/>
      <c r="J58" s="9"/>
      <c r="K58" s="9"/>
      <c r="L58" s="9"/>
      <c r="M58" s="9"/>
      <c r="N58" s="9"/>
      <c r="O58" s="9"/>
      <c r="P58" s="9"/>
      <c r="Q58" s="9"/>
      <c r="R58" s="9"/>
      <c r="S58" s="9"/>
      <c r="T58" s="9"/>
      <c r="U58" s="9"/>
      <c r="V58" s="9"/>
      <c r="W58" s="9"/>
      <c r="X58" s="9"/>
      <c r="Y58" s="9"/>
      <c r="Z58" s="9"/>
      <c r="AA58" s="9"/>
    </row>
    <row r="59" spans="1:27">
      <c r="A59" s="9"/>
      <c r="B59" s="9"/>
      <c r="C59" s="9"/>
      <c r="D59" s="9"/>
      <c r="E59" s="9"/>
      <c r="F59" s="9"/>
      <c r="G59" s="9"/>
      <c r="H59" s="9"/>
      <c r="I59" s="9"/>
      <c r="J59" s="9"/>
      <c r="K59" s="9"/>
      <c r="L59" s="9"/>
      <c r="M59" s="9"/>
      <c r="N59" s="9"/>
      <c r="O59" s="9"/>
      <c r="P59" s="9"/>
      <c r="Q59" s="9"/>
      <c r="R59" s="9"/>
      <c r="S59" s="9"/>
      <c r="T59" s="9"/>
      <c r="U59" s="9"/>
      <c r="V59" s="9"/>
      <c r="W59" s="9"/>
      <c r="X59" s="9"/>
      <c r="Y59" s="9"/>
      <c r="Z59" s="9"/>
      <c r="AA59" s="9"/>
    </row>
    <row r="60" spans="1:27">
      <c r="A60" s="9"/>
      <c r="B60" s="9"/>
      <c r="C60" s="9"/>
      <c r="D60" s="9"/>
      <c r="E60" s="9"/>
      <c r="F60" s="9"/>
      <c r="G60" s="9"/>
      <c r="H60" s="9"/>
      <c r="I60" s="9"/>
      <c r="J60" s="9"/>
      <c r="K60" s="9"/>
      <c r="L60" s="9"/>
      <c r="M60" s="9"/>
      <c r="N60" s="9"/>
      <c r="O60" s="9"/>
      <c r="P60" s="9"/>
      <c r="Q60" s="9"/>
      <c r="R60" s="9"/>
      <c r="S60" s="9"/>
      <c r="T60" s="9"/>
      <c r="U60" s="9"/>
      <c r="V60" s="9"/>
      <c r="W60" s="9"/>
      <c r="X60" s="9"/>
      <c r="Y60" s="9"/>
      <c r="Z60" s="9"/>
      <c r="AA60" s="9"/>
    </row>
    <row r="61" spans="1:27">
      <c r="A61" s="9"/>
      <c r="B61" s="9"/>
      <c r="C61" s="9"/>
      <c r="D61" s="9"/>
      <c r="E61" s="9"/>
      <c r="F61" s="9"/>
      <c r="G61" s="9"/>
      <c r="H61" s="9"/>
      <c r="I61" s="9"/>
      <c r="J61" s="9"/>
      <c r="K61" s="9"/>
      <c r="L61" s="9"/>
      <c r="M61" s="9"/>
      <c r="N61" s="9"/>
      <c r="O61" s="9"/>
      <c r="P61" s="9"/>
      <c r="Q61" s="9"/>
      <c r="R61" s="9"/>
      <c r="S61" s="9"/>
      <c r="T61" s="9"/>
      <c r="U61" s="9"/>
      <c r="V61" s="9"/>
      <c r="W61" s="9"/>
      <c r="X61" s="9"/>
      <c r="Y61" s="9"/>
      <c r="Z61" s="9"/>
      <c r="AA61" s="9"/>
    </row>
    <row r="62" spans="1:27">
      <c r="A62" s="9"/>
      <c r="B62" s="9"/>
      <c r="C62" s="9"/>
      <c r="D62" s="9"/>
      <c r="E62" s="9"/>
      <c r="F62" s="9"/>
      <c r="G62" s="9"/>
      <c r="H62" s="9"/>
      <c r="I62" s="9"/>
      <c r="J62" s="9"/>
      <c r="K62" s="9"/>
      <c r="L62" s="9"/>
      <c r="M62" s="9"/>
      <c r="N62" s="9"/>
      <c r="O62" s="9"/>
      <c r="P62" s="9"/>
      <c r="Q62" s="9"/>
      <c r="R62" s="9"/>
      <c r="S62" s="9"/>
      <c r="T62" s="9"/>
      <c r="U62" s="9"/>
      <c r="V62" s="9"/>
      <c r="W62" s="9"/>
      <c r="X62" s="9"/>
      <c r="Y62" s="9"/>
      <c r="Z62" s="9"/>
      <c r="AA62" s="9"/>
    </row>
    <row r="63" spans="1:27">
      <c r="A63" s="9"/>
      <c r="B63" s="9"/>
      <c r="C63" s="9"/>
      <c r="D63" s="9"/>
      <c r="E63" s="9"/>
      <c r="F63" s="9"/>
      <c r="G63" s="9"/>
      <c r="H63" s="9"/>
      <c r="I63" s="9"/>
      <c r="J63" s="9"/>
      <c r="K63" s="9"/>
      <c r="L63" s="9"/>
      <c r="M63" s="9"/>
      <c r="N63" s="9"/>
      <c r="O63" s="9"/>
      <c r="P63" s="9"/>
      <c r="Q63" s="9"/>
      <c r="R63" s="9"/>
      <c r="S63" s="9"/>
      <c r="T63" s="9"/>
      <c r="U63" s="9"/>
      <c r="V63" s="9"/>
      <c r="W63" s="9"/>
      <c r="X63" s="9"/>
      <c r="Y63" s="9"/>
      <c r="Z63" s="9"/>
      <c r="AA63" s="9"/>
    </row>
    <row r="64" spans="1:27">
      <c r="A64" s="9"/>
      <c r="B64" s="9"/>
      <c r="C64" s="9"/>
      <c r="D64" s="9"/>
      <c r="E64" s="9"/>
      <c r="F64" s="9"/>
      <c r="G64" s="9"/>
      <c r="H64" s="9"/>
      <c r="I64" s="9"/>
      <c r="J64" s="9"/>
      <c r="K64" s="9"/>
      <c r="L64" s="9"/>
      <c r="M64" s="9"/>
      <c r="N64" s="9"/>
      <c r="O64" s="9"/>
      <c r="P64" s="9"/>
      <c r="Q64" s="9"/>
      <c r="R64" s="9"/>
      <c r="S64" s="9"/>
      <c r="T64" s="9"/>
      <c r="U64" s="9"/>
      <c r="V64" s="9"/>
      <c r="W64" s="9"/>
      <c r="X64" s="9"/>
      <c r="Y64" s="9"/>
      <c r="Z64" s="9"/>
      <c r="AA64" s="9"/>
    </row>
    <row r="65" spans="1:27">
      <c r="A65" s="9"/>
      <c r="B65" s="9"/>
      <c r="C65" s="9"/>
      <c r="D65" s="9"/>
      <c r="E65" s="9"/>
      <c r="F65" s="9"/>
      <c r="G65" s="9"/>
      <c r="H65" s="9"/>
      <c r="I65" s="9"/>
      <c r="J65" s="9"/>
      <c r="K65" s="9"/>
      <c r="L65" s="9"/>
      <c r="M65" s="9"/>
      <c r="N65" s="9"/>
      <c r="O65" s="9"/>
      <c r="P65" s="9"/>
      <c r="Q65" s="9"/>
      <c r="R65" s="9"/>
      <c r="S65" s="9"/>
      <c r="T65" s="9"/>
      <c r="U65" s="9"/>
      <c r="V65" s="9"/>
      <c r="W65" s="9"/>
      <c r="X65" s="9"/>
      <c r="Y65" s="9"/>
      <c r="Z65" s="9"/>
      <c r="AA65" s="9"/>
    </row>
    <row r="66" spans="1:27">
      <c r="A66" s="9"/>
      <c r="B66" s="9"/>
      <c r="C66" s="9"/>
      <c r="D66" s="9"/>
      <c r="E66" s="9"/>
      <c r="F66" s="9"/>
      <c r="G66" s="9"/>
      <c r="H66" s="9"/>
      <c r="I66" s="9"/>
      <c r="J66" s="9"/>
      <c r="K66" s="9"/>
      <c r="L66" s="9"/>
      <c r="M66" s="9"/>
      <c r="N66" s="9"/>
      <c r="O66" s="9"/>
      <c r="P66" s="9"/>
      <c r="Q66" s="9"/>
      <c r="R66" s="9"/>
      <c r="S66" s="9"/>
      <c r="T66" s="9"/>
      <c r="U66" s="9"/>
      <c r="V66" s="9"/>
      <c r="W66" s="9"/>
      <c r="X66" s="9"/>
      <c r="Y66" s="9"/>
      <c r="Z66" s="9"/>
      <c r="AA66" s="9"/>
    </row>
    <row r="67" spans="1:27">
      <c r="A67" s="9"/>
      <c r="B67" s="9"/>
      <c r="C67" s="9"/>
      <c r="D67" s="9"/>
      <c r="E67" s="9"/>
      <c r="F67" s="9"/>
      <c r="G67" s="9"/>
      <c r="H67" s="9"/>
      <c r="I67" s="9"/>
      <c r="J67" s="9"/>
      <c r="K67" s="9"/>
      <c r="L67" s="9"/>
      <c r="M67" s="9"/>
      <c r="N67" s="9"/>
      <c r="O67" s="9"/>
      <c r="P67" s="9"/>
      <c r="Q67" s="9"/>
      <c r="R67" s="9"/>
      <c r="S67" s="9"/>
      <c r="T67" s="9"/>
      <c r="U67" s="9"/>
      <c r="V67" s="9"/>
      <c r="W67" s="9"/>
      <c r="X67" s="9"/>
      <c r="Y67" s="9"/>
      <c r="Z67" s="9"/>
      <c r="AA67" s="9"/>
    </row>
    <row r="68" spans="1:27">
      <c r="A68" s="9"/>
      <c r="B68" s="9"/>
      <c r="C68" s="9"/>
      <c r="D68" s="9"/>
      <c r="E68" s="9"/>
      <c r="F68" s="9"/>
      <c r="G68" s="9"/>
      <c r="H68" s="9"/>
      <c r="I68" s="9"/>
      <c r="J68" s="9"/>
      <c r="K68" s="9"/>
      <c r="L68" s="9"/>
      <c r="M68" s="9"/>
      <c r="N68" s="9"/>
      <c r="O68" s="9"/>
      <c r="P68" s="9"/>
      <c r="Q68" s="9"/>
      <c r="R68" s="9"/>
      <c r="S68" s="9"/>
      <c r="T68" s="9"/>
      <c r="U68" s="9"/>
      <c r="V68" s="9"/>
      <c r="W68" s="9"/>
      <c r="X68" s="9"/>
      <c r="Y68" s="9"/>
      <c r="Z68" s="9"/>
      <c r="AA68" s="9"/>
    </row>
    <row r="69" spans="1:27">
      <c r="A69" s="9"/>
      <c r="B69" s="9"/>
      <c r="C69" s="9"/>
      <c r="D69" s="9"/>
      <c r="E69" s="9"/>
      <c r="F69" s="9"/>
      <c r="G69" s="9"/>
      <c r="H69" s="9"/>
      <c r="I69" s="9"/>
      <c r="J69" s="9"/>
      <c r="K69" s="9"/>
      <c r="L69" s="9"/>
      <c r="M69" s="9"/>
      <c r="N69" s="9"/>
      <c r="O69" s="9"/>
      <c r="P69" s="9"/>
      <c r="Q69" s="9"/>
      <c r="R69" s="9"/>
      <c r="S69" s="9"/>
      <c r="T69" s="9"/>
      <c r="U69" s="9"/>
      <c r="V69" s="9"/>
      <c r="W69" s="9"/>
      <c r="X69" s="9"/>
      <c r="Y69" s="9"/>
      <c r="Z69" s="9"/>
      <c r="AA69" s="9"/>
    </row>
    <row r="70" spans="1:27">
      <c r="A70" s="9"/>
      <c r="B70" s="9"/>
      <c r="C70" s="9"/>
      <c r="D70" s="9"/>
      <c r="E70" s="9"/>
      <c r="F70" s="9"/>
      <c r="G70" s="9"/>
      <c r="H70" s="9"/>
      <c r="I70" s="9"/>
      <c r="J70" s="9"/>
      <c r="K70" s="9"/>
      <c r="L70" s="9"/>
      <c r="M70" s="9"/>
      <c r="N70" s="9"/>
      <c r="O70" s="9"/>
      <c r="P70" s="9"/>
      <c r="Q70" s="9"/>
      <c r="R70" s="9"/>
      <c r="S70" s="9"/>
      <c r="T70" s="9"/>
      <c r="U70" s="9"/>
      <c r="V70" s="9"/>
      <c r="W70" s="9"/>
      <c r="X70" s="9"/>
      <c r="Y70" s="9"/>
      <c r="Z70" s="9"/>
      <c r="AA70" s="9"/>
    </row>
    <row r="71" spans="1:27">
      <c r="A71" s="9"/>
      <c r="B71" s="9"/>
      <c r="C71" s="9"/>
      <c r="D71" s="9"/>
      <c r="E71" s="9"/>
      <c r="F71" s="9"/>
      <c r="G71" s="9"/>
      <c r="H71" s="9"/>
      <c r="I71" s="9"/>
      <c r="J71" s="9"/>
      <c r="K71" s="9"/>
      <c r="L71" s="9"/>
      <c r="M71" s="9"/>
      <c r="N71" s="9"/>
      <c r="O71" s="9"/>
      <c r="P71" s="9"/>
      <c r="Q71" s="9"/>
      <c r="R71" s="9"/>
      <c r="S71" s="9"/>
      <c r="T71" s="9"/>
      <c r="U71" s="9"/>
      <c r="V71" s="9"/>
      <c r="W71" s="9"/>
      <c r="X71" s="9"/>
      <c r="Y71" s="9"/>
      <c r="Z71" s="9"/>
      <c r="AA71" s="9"/>
    </row>
    <row r="72" spans="1:27">
      <c r="A72" s="9"/>
      <c r="B72" s="9"/>
      <c r="C72" s="9"/>
      <c r="D72" s="9"/>
      <c r="E72" s="9"/>
      <c r="F72" s="9"/>
      <c r="G72" s="9"/>
      <c r="H72" s="9"/>
      <c r="I72" s="9"/>
      <c r="J72" s="9"/>
      <c r="K72" s="9"/>
      <c r="L72" s="9"/>
      <c r="M72" s="9"/>
      <c r="N72" s="9"/>
      <c r="O72" s="9"/>
      <c r="P72" s="9"/>
      <c r="Q72" s="9"/>
      <c r="R72" s="9"/>
      <c r="S72" s="9"/>
      <c r="T72" s="9"/>
      <c r="U72" s="9"/>
      <c r="V72" s="9"/>
      <c r="W72" s="9"/>
      <c r="X72" s="9"/>
      <c r="Y72" s="9"/>
      <c r="Z72" s="9"/>
      <c r="AA72" s="9"/>
    </row>
    <row r="73" spans="1:27">
      <c r="A73" s="9"/>
      <c r="B73" s="9"/>
      <c r="C73" s="9"/>
      <c r="D73" s="9"/>
      <c r="E73" s="9"/>
      <c r="F73" s="9"/>
      <c r="G73" s="9"/>
      <c r="H73" s="9"/>
      <c r="I73" s="9"/>
      <c r="J73" s="9"/>
      <c r="K73" s="9"/>
      <c r="L73" s="9"/>
      <c r="M73" s="9"/>
      <c r="N73" s="9"/>
      <c r="O73" s="9"/>
      <c r="P73" s="9"/>
      <c r="Q73" s="9"/>
      <c r="R73" s="9"/>
      <c r="S73" s="9"/>
      <c r="T73" s="9"/>
      <c r="U73" s="9"/>
      <c r="V73" s="9"/>
      <c r="W73" s="9"/>
      <c r="X73" s="9"/>
      <c r="Y73" s="9"/>
      <c r="Z73" s="9"/>
      <c r="AA73" s="9"/>
    </row>
    <row r="74" spans="1:27">
      <c r="A74" s="9"/>
      <c r="B74" s="9"/>
      <c r="C74" s="9"/>
      <c r="D74" s="9"/>
      <c r="E74" s="9"/>
      <c r="F74" s="9"/>
      <c r="G74" s="9"/>
      <c r="H74" s="9"/>
      <c r="I74" s="9"/>
      <c r="J74" s="9"/>
      <c r="K74" s="9"/>
      <c r="L74" s="9"/>
      <c r="M74" s="9"/>
      <c r="N74" s="9"/>
      <c r="O74" s="9"/>
      <c r="P74" s="9"/>
      <c r="Q74" s="9"/>
      <c r="R74" s="9"/>
      <c r="S74" s="9"/>
      <c r="T74" s="9"/>
      <c r="U74" s="9"/>
      <c r="V74" s="9"/>
      <c r="W74" s="9"/>
      <c r="X74" s="9"/>
      <c r="Y74" s="9"/>
      <c r="Z74" s="9"/>
      <c r="AA74" s="9"/>
    </row>
    <row r="75" spans="1:27">
      <c r="A75" s="9"/>
      <c r="B75" s="9"/>
      <c r="C75" s="9"/>
      <c r="D75" s="9"/>
      <c r="E75" s="9"/>
      <c r="F75" s="9"/>
      <c r="G75" s="9"/>
      <c r="H75" s="9"/>
      <c r="I75" s="9"/>
      <c r="J75" s="9"/>
      <c r="K75" s="9"/>
      <c r="L75" s="9"/>
      <c r="M75" s="9"/>
      <c r="N75" s="9"/>
      <c r="O75" s="9"/>
      <c r="P75" s="9"/>
      <c r="Q75" s="9"/>
      <c r="R75" s="9"/>
      <c r="S75" s="9"/>
      <c r="T75" s="9"/>
      <c r="U75" s="9"/>
      <c r="V75" s="9"/>
      <c r="W75" s="9"/>
      <c r="X75" s="9"/>
      <c r="Y75" s="9"/>
      <c r="Z75" s="9"/>
      <c r="AA75" s="9"/>
    </row>
    <row r="76" spans="1:27">
      <c r="A76" s="9"/>
      <c r="B76" s="9"/>
      <c r="C76" s="9"/>
      <c r="D76" s="9"/>
      <c r="E76" s="9"/>
      <c r="F76" s="9"/>
      <c r="G76" s="9"/>
      <c r="H76" s="9"/>
      <c r="I76" s="9"/>
      <c r="J76" s="9"/>
      <c r="K76" s="9"/>
      <c r="L76" s="9"/>
      <c r="M76" s="9"/>
      <c r="N76" s="9"/>
      <c r="O76" s="9"/>
      <c r="P76" s="9"/>
      <c r="Q76" s="9"/>
      <c r="R76" s="9"/>
      <c r="S76" s="9"/>
      <c r="T76" s="9"/>
      <c r="U76" s="9"/>
      <c r="V76" s="9"/>
      <c r="W76" s="9"/>
      <c r="X76" s="9"/>
      <c r="Y76" s="9"/>
      <c r="Z76" s="9"/>
      <c r="AA76" s="9"/>
    </row>
    <row r="77" spans="1:27">
      <c r="A77" s="9"/>
      <c r="B77" s="9"/>
      <c r="C77" s="9"/>
      <c r="D77" s="9"/>
      <c r="E77" s="9"/>
      <c r="F77" s="9"/>
      <c r="G77" s="9"/>
      <c r="H77" s="9"/>
      <c r="I77" s="9"/>
      <c r="J77" s="9"/>
      <c r="K77" s="9"/>
      <c r="L77" s="9"/>
      <c r="M77" s="9"/>
      <c r="N77" s="9"/>
      <c r="O77" s="9"/>
      <c r="P77" s="9"/>
      <c r="Q77" s="9"/>
      <c r="R77" s="9"/>
      <c r="S77" s="9"/>
      <c r="T77" s="9"/>
      <c r="U77" s="9"/>
      <c r="V77" s="9"/>
      <c r="W77" s="9"/>
      <c r="X77" s="9"/>
      <c r="Y77" s="9"/>
      <c r="Z77" s="9"/>
      <c r="AA77" s="9"/>
    </row>
    <row r="78" spans="1:27">
      <c r="A78" s="9"/>
      <c r="B78" s="9"/>
      <c r="C78" s="9"/>
      <c r="D78" s="9"/>
      <c r="E78" s="9"/>
      <c r="F78" s="9"/>
      <c r="G78" s="9"/>
      <c r="H78" s="9"/>
      <c r="I78" s="9"/>
      <c r="J78" s="9"/>
      <c r="K78" s="9"/>
      <c r="L78" s="9"/>
      <c r="M78" s="9"/>
      <c r="N78" s="9"/>
      <c r="O78" s="9"/>
      <c r="P78" s="9"/>
      <c r="Q78" s="9"/>
      <c r="R78" s="9"/>
      <c r="S78" s="9"/>
      <c r="T78" s="9"/>
      <c r="U78" s="9"/>
      <c r="V78" s="9"/>
      <c r="W78" s="9"/>
      <c r="X78" s="9"/>
      <c r="Y78" s="9"/>
      <c r="Z78" s="9"/>
      <c r="AA78" s="9"/>
    </row>
    <row r="79" spans="1:27">
      <c r="A79" s="9"/>
      <c r="B79" s="9"/>
      <c r="C79" s="9"/>
      <c r="D79" s="9"/>
      <c r="E79" s="9"/>
      <c r="F79" s="9"/>
      <c r="G79" s="9"/>
      <c r="H79" s="9"/>
      <c r="I79" s="9"/>
      <c r="J79" s="9"/>
      <c r="K79" s="9"/>
      <c r="L79" s="9"/>
      <c r="M79" s="9"/>
      <c r="N79" s="9"/>
      <c r="O79" s="9"/>
      <c r="P79" s="9"/>
      <c r="Q79" s="9"/>
      <c r="R79" s="9"/>
      <c r="S79" s="9"/>
      <c r="T79" s="9"/>
      <c r="U79" s="9"/>
      <c r="V79" s="9"/>
      <c r="W79" s="9"/>
      <c r="X79" s="9"/>
      <c r="Y79" s="9"/>
      <c r="Z79" s="9"/>
      <c r="AA79" s="9"/>
    </row>
    <row r="80" spans="1:27">
      <c r="A80" s="9"/>
      <c r="B80" s="9"/>
      <c r="C80" s="9"/>
      <c r="D80" s="9"/>
      <c r="E80" s="9"/>
      <c r="F80" s="9"/>
      <c r="G80" s="9"/>
      <c r="H80" s="9"/>
      <c r="I80" s="9"/>
      <c r="J80" s="9"/>
      <c r="K80" s="9"/>
      <c r="L80" s="9"/>
      <c r="M80" s="9"/>
      <c r="N80" s="9"/>
      <c r="O80" s="9"/>
      <c r="P80" s="9"/>
      <c r="Q80" s="9"/>
      <c r="R80" s="9"/>
      <c r="S80" s="9"/>
      <c r="T80" s="9"/>
      <c r="U80" s="9"/>
      <c r="V80" s="9"/>
      <c r="W80" s="9"/>
      <c r="X80" s="9"/>
      <c r="Y80" s="9"/>
      <c r="Z80" s="9"/>
      <c r="AA80" s="9"/>
    </row>
    <row r="81" spans="1:27">
      <c r="A81" s="9"/>
      <c r="B81" s="9"/>
      <c r="C81" s="9"/>
      <c r="D81" s="9"/>
      <c r="E81" s="9"/>
      <c r="F81" s="9"/>
      <c r="G81" s="9"/>
      <c r="H81" s="9"/>
      <c r="I81" s="9"/>
      <c r="J81" s="9"/>
      <c r="K81" s="9"/>
      <c r="L81" s="9"/>
      <c r="M81" s="9"/>
      <c r="N81" s="9"/>
      <c r="O81" s="9"/>
      <c r="P81" s="9"/>
      <c r="Q81" s="9"/>
      <c r="R81" s="9"/>
      <c r="S81" s="9"/>
      <c r="T81" s="9"/>
      <c r="U81" s="9"/>
      <c r="V81" s="9"/>
      <c r="W81" s="9"/>
      <c r="X81" s="9"/>
      <c r="Y81" s="9"/>
      <c r="Z81" s="9"/>
      <c r="AA81" s="9"/>
    </row>
    <row r="82" spans="1:27">
      <c r="A82" s="9"/>
      <c r="B82" s="9"/>
      <c r="C82" s="9"/>
      <c r="D82" s="9"/>
      <c r="E82" s="9"/>
      <c r="F82" s="9"/>
      <c r="G82" s="9"/>
      <c r="H82" s="9"/>
      <c r="I82" s="9"/>
      <c r="J82" s="9"/>
      <c r="K82" s="9"/>
      <c r="L82" s="9"/>
      <c r="M82" s="9"/>
      <c r="N82" s="9"/>
      <c r="O82" s="9"/>
      <c r="P82" s="9"/>
      <c r="Q82" s="9"/>
      <c r="R82" s="9"/>
      <c r="S82" s="9"/>
      <c r="T82" s="9"/>
      <c r="U82" s="9"/>
      <c r="V82" s="9"/>
      <c r="W82" s="9"/>
      <c r="X82" s="9"/>
      <c r="Y82" s="9"/>
      <c r="Z82" s="9"/>
      <c r="AA82" s="9"/>
    </row>
    <row r="83" spans="1:27">
      <c r="A83" s="9"/>
      <c r="B83" s="9"/>
      <c r="C83" s="9"/>
      <c r="D83" s="9"/>
      <c r="E83" s="9"/>
      <c r="F83" s="9"/>
      <c r="G83" s="9"/>
      <c r="H83" s="9"/>
      <c r="I83" s="9"/>
      <c r="J83" s="9"/>
      <c r="K83" s="9"/>
      <c r="L83" s="9"/>
      <c r="M83" s="9"/>
      <c r="N83" s="9"/>
      <c r="O83" s="9"/>
      <c r="P83" s="9"/>
      <c r="Q83" s="9"/>
      <c r="R83" s="9"/>
      <c r="S83" s="9"/>
      <c r="T83" s="9"/>
      <c r="U83" s="9"/>
      <c r="V83" s="9"/>
      <c r="W83" s="9"/>
      <c r="X83" s="9"/>
      <c r="Y83" s="9"/>
      <c r="Z83" s="9"/>
      <c r="AA83" s="9"/>
    </row>
    <row r="84" spans="1:27">
      <c r="A84" s="9"/>
      <c r="B84" s="9"/>
      <c r="C84" s="9"/>
      <c r="D84" s="9"/>
      <c r="E84" s="9"/>
      <c r="F84" s="9"/>
      <c r="G84" s="9"/>
      <c r="H84" s="9"/>
      <c r="I84" s="9"/>
      <c r="J84" s="9"/>
      <c r="K84" s="9"/>
      <c r="L84" s="9"/>
      <c r="M84" s="9"/>
      <c r="N84" s="9"/>
      <c r="O84" s="9"/>
      <c r="P84" s="9"/>
      <c r="Q84" s="9"/>
      <c r="R84" s="9"/>
      <c r="S84" s="9"/>
      <c r="T84" s="9"/>
      <c r="U84" s="9"/>
      <c r="V84" s="9"/>
      <c r="W84" s="9"/>
      <c r="X84" s="9"/>
      <c r="Y84" s="9"/>
      <c r="Z84" s="9"/>
      <c r="AA84" s="9"/>
    </row>
    <row r="85" spans="1:27">
      <c r="A85" s="9"/>
      <c r="B85" s="9"/>
      <c r="C85" s="9"/>
      <c r="D85" s="9"/>
      <c r="E85" s="9"/>
      <c r="F85" s="9"/>
      <c r="G85" s="9"/>
      <c r="H85" s="9"/>
      <c r="I85" s="9"/>
      <c r="J85" s="9"/>
      <c r="K85" s="9"/>
      <c r="L85" s="9"/>
      <c r="M85" s="9"/>
      <c r="N85" s="9"/>
      <c r="O85" s="9"/>
      <c r="P85" s="9"/>
      <c r="Q85" s="9"/>
      <c r="R85" s="9"/>
      <c r="S85" s="9"/>
      <c r="T85" s="9"/>
      <c r="U85" s="9"/>
      <c r="V85" s="9"/>
      <c r="W85" s="9"/>
      <c r="X85" s="9"/>
      <c r="Y85" s="9"/>
      <c r="Z85" s="9"/>
      <c r="AA85" s="9"/>
    </row>
    <row r="86" spans="1:27">
      <c r="A86" s="9"/>
      <c r="B86" s="9"/>
      <c r="C86" s="9"/>
      <c r="D86" s="9"/>
      <c r="E86" s="9"/>
      <c r="F86" s="9"/>
      <c r="G86" s="9"/>
      <c r="H86" s="9"/>
      <c r="I86" s="9"/>
      <c r="J86" s="9"/>
      <c r="K86" s="9"/>
      <c r="L86" s="9"/>
      <c r="M86" s="9"/>
      <c r="N86" s="9"/>
      <c r="O86" s="9"/>
      <c r="P86" s="9"/>
      <c r="Q86" s="9"/>
      <c r="R86" s="9"/>
      <c r="S86" s="9"/>
      <c r="T86" s="9"/>
      <c r="U86" s="9"/>
      <c r="V86" s="9"/>
      <c r="W86" s="9"/>
      <c r="X86" s="9"/>
      <c r="Y86" s="9"/>
      <c r="Z86" s="9"/>
      <c r="AA86" s="9"/>
    </row>
    <row r="87" spans="1:27">
      <c r="A87" s="9"/>
      <c r="B87" s="9"/>
      <c r="C87" s="9"/>
      <c r="D87" s="9"/>
      <c r="E87" s="9"/>
      <c r="F87" s="9"/>
      <c r="G87" s="9"/>
      <c r="H87" s="9"/>
      <c r="I87" s="9"/>
      <c r="J87" s="9"/>
      <c r="K87" s="9"/>
      <c r="L87" s="9"/>
      <c r="M87" s="9"/>
      <c r="N87" s="9"/>
      <c r="O87" s="9"/>
      <c r="P87" s="9"/>
      <c r="Q87" s="9"/>
      <c r="R87" s="9"/>
      <c r="S87" s="9"/>
      <c r="T87" s="9"/>
      <c r="U87" s="9"/>
      <c r="V87" s="9"/>
      <c r="W87" s="9"/>
      <c r="X87" s="9"/>
      <c r="Y87" s="9"/>
      <c r="Z87" s="9"/>
      <c r="AA87" s="9"/>
    </row>
    <row r="88" spans="1:27">
      <c r="A88" s="9"/>
      <c r="B88" s="9"/>
      <c r="C88" s="9"/>
      <c r="D88" s="9"/>
      <c r="E88" s="9"/>
      <c r="F88" s="9"/>
      <c r="G88" s="9"/>
      <c r="H88" s="9"/>
      <c r="I88" s="9"/>
      <c r="J88" s="9"/>
      <c r="K88" s="9"/>
      <c r="L88" s="9"/>
      <c r="M88" s="9"/>
      <c r="N88" s="9"/>
      <c r="O88" s="9"/>
      <c r="P88" s="9"/>
      <c r="Q88" s="9"/>
      <c r="R88" s="9"/>
      <c r="S88" s="9"/>
      <c r="T88" s="9"/>
      <c r="U88" s="9"/>
      <c r="V88" s="9"/>
      <c r="W88" s="9"/>
      <c r="X88" s="9"/>
      <c r="Y88" s="9"/>
      <c r="Z88" s="9"/>
      <c r="AA88" s="9"/>
    </row>
    <row r="89" spans="1:27">
      <c r="A89" s="9"/>
      <c r="B89" s="9"/>
      <c r="C89" s="9"/>
      <c r="D89" s="9"/>
      <c r="E89" s="9"/>
      <c r="F89" s="9"/>
      <c r="G89" s="9"/>
      <c r="H89" s="9"/>
      <c r="I89" s="9"/>
      <c r="J89" s="9"/>
      <c r="K89" s="9"/>
      <c r="L89" s="9"/>
      <c r="M89" s="9"/>
      <c r="N89" s="9"/>
      <c r="O89" s="9"/>
      <c r="P89" s="9"/>
      <c r="Q89" s="9"/>
      <c r="R89" s="9"/>
      <c r="S89" s="9"/>
      <c r="T89" s="9"/>
      <c r="U89" s="9"/>
      <c r="V89" s="9"/>
      <c r="W89" s="9"/>
      <c r="X89" s="9"/>
      <c r="Y89" s="9"/>
      <c r="Z89" s="9"/>
      <c r="AA89" s="9"/>
    </row>
    <row r="90" spans="1:27">
      <c r="A90" s="9"/>
      <c r="B90" s="9"/>
      <c r="C90" s="9"/>
      <c r="D90" s="9"/>
      <c r="E90" s="9"/>
      <c r="F90" s="9"/>
      <c r="G90" s="9"/>
      <c r="H90" s="9"/>
      <c r="I90" s="9"/>
      <c r="J90" s="9"/>
      <c r="K90" s="9"/>
      <c r="L90" s="9"/>
      <c r="M90" s="9"/>
      <c r="N90" s="9"/>
      <c r="O90" s="9"/>
      <c r="P90" s="9"/>
      <c r="Q90" s="9"/>
      <c r="R90" s="9"/>
      <c r="S90" s="9"/>
      <c r="T90" s="9"/>
      <c r="U90" s="9"/>
      <c r="V90" s="9"/>
      <c r="W90" s="9"/>
      <c r="X90" s="9"/>
      <c r="Y90" s="9"/>
      <c r="Z90" s="9"/>
      <c r="AA90" s="9"/>
    </row>
    <row r="91" spans="1:27">
      <c r="A91" s="9"/>
      <c r="B91" s="9"/>
      <c r="C91" s="9"/>
      <c r="D91" s="9"/>
      <c r="E91" s="9"/>
      <c r="F91" s="9"/>
      <c r="G91" s="9"/>
      <c r="H91" s="9"/>
      <c r="I91" s="9"/>
      <c r="J91" s="9"/>
      <c r="K91" s="9"/>
      <c r="L91" s="9"/>
      <c r="M91" s="9"/>
      <c r="N91" s="9"/>
      <c r="O91" s="9"/>
      <c r="P91" s="9"/>
      <c r="Q91" s="9"/>
      <c r="R91" s="9"/>
      <c r="S91" s="9"/>
      <c r="T91" s="9"/>
      <c r="U91" s="9"/>
      <c r="V91" s="9"/>
      <c r="W91" s="9"/>
      <c r="X91" s="9"/>
      <c r="Y91" s="9"/>
      <c r="Z91" s="9"/>
      <c r="AA91" s="9"/>
    </row>
    <row r="92" spans="1:27">
      <c r="A92" s="9"/>
      <c r="B92" s="9"/>
      <c r="C92" s="9"/>
      <c r="D92" s="9"/>
      <c r="E92" s="9"/>
      <c r="F92" s="9"/>
      <c r="G92" s="9"/>
      <c r="H92" s="9"/>
      <c r="I92" s="9"/>
      <c r="J92" s="9"/>
      <c r="K92" s="9"/>
      <c r="L92" s="9"/>
      <c r="M92" s="9"/>
      <c r="N92" s="9"/>
      <c r="O92" s="9"/>
      <c r="P92" s="9"/>
      <c r="Q92" s="9"/>
      <c r="R92" s="9"/>
      <c r="S92" s="9"/>
      <c r="T92" s="9"/>
      <c r="U92" s="9"/>
      <c r="V92" s="9"/>
      <c r="W92" s="9"/>
      <c r="X92" s="9"/>
      <c r="Y92" s="9"/>
      <c r="Z92" s="9"/>
      <c r="AA92" s="9"/>
    </row>
    <row r="93" spans="1:27">
      <c r="A93" s="9"/>
      <c r="B93" s="9"/>
      <c r="C93" s="9"/>
      <c r="D93" s="9"/>
      <c r="E93" s="9"/>
      <c r="F93" s="9"/>
      <c r="G93" s="9"/>
      <c r="H93" s="9"/>
      <c r="I93" s="9"/>
      <c r="J93" s="9"/>
      <c r="K93" s="9"/>
      <c r="L93" s="9"/>
      <c r="M93" s="9"/>
      <c r="N93" s="9"/>
      <c r="O93" s="9"/>
      <c r="P93" s="9"/>
      <c r="Q93" s="9"/>
      <c r="R93" s="9"/>
      <c r="S93" s="9"/>
      <c r="T93" s="9"/>
      <c r="U93" s="9"/>
      <c r="V93" s="9"/>
      <c r="W93" s="9"/>
      <c r="X93" s="9"/>
      <c r="Y93" s="9"/>
      <c r="Z93" s="9"/>
      <c r="AA93" s="9"/>
    </row>
    <row r="94" spans="1:27">
      <c r="A94" s="9"/>
      <c r="B94" s="9"/>
      <c r="C94" s="9"/>
      <c r="D94" s="9"/>
      <c r="E94" s="9"/>
      <c r="F94" s="9"/>
      <c r="G94" s="9"/>
      <c r="H94" s="9"/>
      <c r="I94" s="9"/>
      <c r="J94" s="9"/>
      <c r="K94" s="9"/>
      <c r="L94" s="9"/>
      <c r="M94" s="9"/>
      <c r="N94" s="9"/>
      <c r="O94" s="9"/>
      <c r="P94" s="9"/>
      <c r="Q94" s="9"/>
      <c r="R94" s="9"/>
      <c r="S94" s="9"/>
      <c r="T94" s="9"/>
      <c r="U94" s="9"/>
      <c r="V94" s="9"/>
      <c r="W94" s="9"/>
      <c r="X94" s="9"/>
      <c r="Y94" s="9"/>
      <c r="Z94" s="9"/>
      <c r="AA94" s="9"/>
    </row>
    <row r="95" spans="1:27">
      <c r="A95" s="9"/>
      <c r="B95" s="9"/>
      <c r="C95" s="9"/>
      <c r="D95" s="9"/>
      <c r="E95" s="9"/>
      <c r="F95" s="9"/>
      <c r="G95" s="9"/>
      <c r="H95" s="9"/>
      <c r="I95" s="9"/>
      <c r="J95" s="9"/>
      <c r="K95" s="9"/>
      <c r="L95" s="9"/>
      <c r="M95" s="9"/>
      <c r="N95" s="9"/>
      <c r="O95" s="9"/>
      <c r="P95" s="9"/>
      <c r="Q95" s="9"/>
      <c r="R95" s="9"/>
      <c r="S95" s="9"/>
      <c r="T95" s="9"/>
      <c r="U95" s="9"/>
      <c r="V95" s="9"/>
      <c r="W95" s="9"/>
      <c r="X95" s="9"/>
      <c r="Y95" s="9"/>
      <c r="Z95" s="9"/>
      <c r="AA95" s="9"/>
    </row>
    <row r="96" spans="1:27">
      <c r="A96" s="9"/>
      <c r="B96" s="9"/>
      <c r="C96" s="9"/>
      <c r="D96" s="9"/>
      <c r="E96" s="9"/>
      <c r="F96" s="9"/>
      <c r="G96" s="9"/>
      <c r="H96" s="9"/>
      <c r="I96" s="9"/>
      <c r="J96" s="9"/>
      <c r="K96" s="9"/>
      <c r="L96" s="9"/>
      <c r="M96" s="9"/>
      <c r="N96" s="9"/>
      <c r="O96" s="9"/>
      <c r="P96" s="9"/>
      <c r="Q96" s="9"/>
      <c r="R96" s="9"/>
      <c r="S96" s="9"/>
      <c r="T96" s="9"/>
      <c r="U96" s="9"/>
      <c r="V96" s="9"/>
      <c r="W96" s="9"/>
      <c r="X96" s="9"/>
      <c r="Y96" s="9"/>
      <c r="Z96" s="9"/>
      <c r="AA96" s="9"/>
    </row>
    <row r="97" spans="1:27">
      <c r="A97" s="9"/>
      <c r="B97" s="9"/>
      <c r="C97" s="9"/>
      <c r="D97" s="9"/>
      <c r="E97" s="9"/>
      <c r="F97" s="9"/>
      <c r="G97" s="9"/>
      <c r="H97" s="9"/>
      <c r="I97" s="9"/>
      <c r="J97" s="9"/>
      <c r="K97" s="9"/>
      <c r="L97" s="9"/>
      <c r="M97" s="9"/>
      <c r="N97" s="9"/>
      <c r="O97" s="9"/>
      <c r="P97" s="9"/>
      <c r="Q97" s="9"/>
      <c r="R97" s="9"/>
      <c r="S97" s="9"/>
      <c r="T97" s="9"/>
      <c r="U97" s="9"/>
      <c r="V97" s="9"/>
      <c r="W97" s="9"/>
      <c r="X97" s="9"/>
      <c r="Y97" s="9"/>
      <c r="Z97" s="9"/>
      <c r="AA97" s="9"/>
    </row>
    <row r="98" spans="1:27">
      <c r="A98" s="9"/>
      <c r="B98" s="9"/>
      <c r="C98" s="9"/>
      <c r="D98" s="9"/>
      <c r="E98" s="9"/>
      <c r="F98" s="9"/>
      <c r="G98" s="9"/>
      <c r="H98" s="9"/>
      <c r="I98" s="9"/>
      <c r="J98" s="9"/>
      <c r="K98" s="9"/>
      <c r="L98" s="9"/>
      <c r="M98" s="9"/>
      <c r="N98" s="9"/>
      <c r="O98" s="9"/>
      <c r="P98" s="9"/>
      <c r="Q98" s="9"/>
      <c r="R98" s="9"/>
      <c r="S98" s="9"/>
      <c r="T98" s="9"/>
      <c r="U98" s="9"/>
      <c r="V98" s="9"/>
      <c r="W98" s="9"/>
      <c r="X98" s="9"/>
      <c r="Y98" s="9"/>
      <c r="Z98" s="9"/>
      <c r="AA98" s="9"/>
    </row>
  </sheetData>
  <sheetProtection algorithmName="SHA-512" hashValue="6DMuemWuUuDnP39FO05WPF94gjnPJ1tH2n6ED5hfnCZBJvoTNQgqT3YVIsnO3L6nJEGqVxRVO/6gPAYXBvGSwQ==" saltValue="yNMbcsK9YxS/FUyDIZN9Iw==" spinCount="100000" sheet="1" objects="1" scenarios="1"/>
  <mergeCells count="7">
    <mergeCell ref="D9:D11"/>
    <mergeCell ref="F9:F11"/>
    <mergeCell ref="F19:F21"/>
    <mergeCell ref="F29:F31"/>
    <mergeCell ref="H9:H10"/>
    <mergeCell ref="H19:H20"/>
    <mergeCell ref="H29:H30"/>
  </mergeCells>
  <conditionalFormatting sqref="E7 H7 D12:H13 C5">
    <cfRule type="expression" dxfId="20" priority="6">
      <formula>stageno&gt;1</formula>
    </cfRule>
  </conditionalFormatting>
  <conditionalFormatting sqref="E17 H17 D22:H23 C15">
    <cfRule type="expression" dxfId="18" priority="5">
      <formula>stageno&gt;2</formula>
    </cfRule>
  </conditionalFormatting>
  <conditionalFormatting sqref="E27 H27 D32:H36 C25">
    <cfRule type="expression" dxfId="16" priority="4">
      <formula>stageno&gt;3</formula>
    </cfRule>
  </conditionalFormatting>
  <dataValidations xWindow="546" yWindow="226" count="1">
    <dataValidation type="list" allowBlank="1" showInputMessage="1" showErrorMessage="1" promptTitle="Manual Override" prompt="Select whether to allow model to calculate or to manually override" sqref="C5 C25 C15" xr:uid="{00000000-0002-0000-0E00-000000000000}">
      <formula1>Manual_override</formula1>
    </dataValidation>
  </dataValidations>
  <hyperlinks>
    <hyperlink ref="I1" location="Guide" display="Guide" xr:uid="{00000000-0004-0000-0E00-000000000000}"/>
    <hyperlink ref="I2" location="Input" display="Input" xr:uid="{00000000-0004-0000-0E00-000001000000}"/>
  </hyperlinks>
  <pageMargins left="0.7" right="0.7" top="0.75" bottom="0.75" header="0.3" footer="0.3"/>
  <pageSetup paperSize="9" scale="41" orientation="portrait" r:id="rId1"/>
  <headerFooter>
    <oddFooter>&amp;LNova Scotia Exploration Economics Model&amp;Rwww.indeva.com</oddFooter>
  </headerFooter>
  <extLst>
    <ext xmlns:x14="http://schemas.microsoft.com/office/spreadsheetml/2009/9/main" uri="{78C0D931-6437-407d-A8EE-F0AAD7539E65}">
      <x14:conditionalFormattings>
        <x14:conditionalFormatting xmlns:xm="http://schemas.microsoft.com/office/excel/2006/main">
          <x14:cfRule type="expression" priority="1" id="{2CB44D1D-9F90-46E8-90CF-F5233941F33C}">
            <xm:f>$C$5=Lists!$A$37</xm:f>
            <x14:dxf>
              <font>
                <color theme="2"/>
              </font>
              <fill>
                <patternFill>
                  <bgColor theme="2"/>
                </patternFill>
              </fill>
            </x14:dxf>
          </x14:cfRule>
          <xm:sqref>E7 H7 D12:H13</xm:sqref>
        </x14:conditionalFormatting>
        <x14:conditionalFormatting xmlns:xm="http://schemas.microsoft.com/office/excel/2006/main">
          <x14:cfRule type="expression" priority="3" id="{2DF60698-1F3B-44DF-962F-3EA77E3E1D8F}">
            <xm:f>$C$15=Lists!$A$37</xm:f>
            <x14:dxf>
              <font>
                <color theme="2"/>
              </font>
              <fill>
                <patternFill>
                  <bgColor theme="2"/>
                </patternFill>
              </fill>
            </x14:dxf>
          </x14:cfRule>
          <xm:sqref>E17 H17 D22:H23</xm:sqref>
        </x14:conditionalFormatting>
        <x14:conditionalFormatting xmlns:xm="http://schemas.microsoft.com/office/excel/2006/main">
          <x14:cfRule type="expression" priority="2" id="{45E2C7CC-698F-4B18-AD66-4BD49B9911FE}">
            <xm:f>$C$25=Lists!$A$37</xm:f>
            <x14:dxf>
              <font>
                <color theme="2"/>
              </font>
              <fill>
                <patternFill>
                  <bgColor theme="2"/>
                </patternFill>
              </fill>
            </x14:dxf>
          </x14:cfRule>
          <xm:sqref>E27 H27 D32:H36</xm:sqref>
        </x14:conditionalFormatting>
      </x14:conditionalFormattings>
    </ext>
    <ext xmlns:x14="http://schemas.microsoft.com/office/spreadsheetml/2009/9/main" uri="{CCE6A557-97BC-4b89-ADB6-D9C93CAAB3DF}">
      <x14:dataValidations xmlns:xm="http://schemas.microsoft.com/office/excel/2006/main" xWindow="546" yWindow="226" count="1">
        <x14:dataValidation type="decimal" allowBlank="1" showInputMessage="1" showErrorMessage="1" error="Base year must be between start year of economics and current year" prompt="Base year must be between start year of economics and current year" xr:uid="{0FE815F4-5BB4-4857-990A-C7B0326006EE}">
          <x14:formula1>
            <xm:f>'Economic Assumptions'!$A$12</xm:f>
          </x14:formula1>
          <x14:formula2>
            <xm:f>'Selected Economics'!$A$11</xm:f>
          </x14:formula2>
          <xm:sqref>E7 E17 E27</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F0078-7A74-4CAB-8ED0-E4DB7C4B9E04}">
  <sheetPr codeName="Sheet36">
    <tabColor theme="9" tint="-0.249977111117893"/>
  </sheetPr>
  <dimension ref="A1:BG69"/>
  <sheetViews>
    <sheetView showGridLines="0" showRowColHeaders="0" zoomScale="90" zoomScaleNormal="70" workbookViewId="0">
      <pane xSplit="2" ySplit="15" topLeftCell="C16" activePane="bottomRight" state="frozen"/>
      <selection activeCell="D42" sqref="D42"/>
      <selection pane="topRight" activeCell="D42" sqref="D42"/>
      <selection pane="bottomLeft" activeCell="D42" sqref="D42"/>
      <selection pane="bottomRight"/>
    </sheetView>
  </sheetViews>
  <sheetFormatPr defaultRowHeight="15"/>
  <cols>
    <col min="3" max="3" width="35.7109375" customWidth="1"/>
    <col min="4" max="4" width="24" customWidth="1"/>
    <col min="5" max="5" width="18.28515625" customWidth="1"/>
    <col min="6" max="6" width="16.42578125" customWidth="1"/>
    <col min="7" max="7" width="14.42578125" customWidth="1"/>
    <col min="8" max="9" width="14" customWidth="1"/>
    <col min="10" max="10" width="12.42578125" customWidth="1"/>
    <col min="11" max="11" width="12.140625" customWidth="1"/>
    <col min="15" max="15" width="12" bestFit="1" customWidth="1"/>
    <col min="16" max="16" width="15.28515625" customWidth="1"/>
    <col min="17" max="17" width="12.5703125" customWidth="1"/>
    <col min="18" max="18" width="12" bestFit="1" customWidth="1"/>
    <col min="19" max="19" width="11.85546875" bestFit="1" customWidth="1"/>
    <col min="20" max="21" width="12.85546875" bestFit="1" customWidth="1"/>
    <col min="22" max="22" width="12.85546875" customWidth="1"/>
    <col min="26" max="26" width="11.140625" customWidth="1"/>
    <col min="27" max="27" width="9.7109375" bestFit="1" customWidth="1"/>
  </cols>
  <sheetData>
    <row r="1" spans="1:59" ht="66" customHeight="1">
      <c r="A1" s="14"/>
      <c r="B1" s="14"/>
      <c r="C1" s="629" t="s">
        <v>1046</v>
      </c>
      <c r="D1" s="630"/>
      <c r="E1" s="630"/>
      <c r="F1" s="9"/>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row>
    <row r="2" spans="1:59" ht="18.75">
      <c r="A2" s="93" t="s">
        <v>756</v>
      </c>
      <c r="B2" s="14"/>
      <c r="C2" s="9"/>
      <c r="D2" s="9"/>
      <c r="E2" s="9"/>
      <c r="F2" s="9"/>
      <c r="G2" s="9"/>
      <c r="H2" s="518" t="s">
        <v>361</v>
      </c>
      <c r="I2" s="518" t="s">
        <v>1005</v>
      </c>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row>
    <row r="3" spans="1:59" ht="18.75">
      <c r="A3" s="93" t="s">
        <v>139</v>
      </c>
      <c r="B3" s="14"/>
      <c r="C3" s="9"/>
      <c r="D3" s="9"/>
      <c r="E3" s="9"/>
      <c r="F3" s="9"/>
      <c r="G3" s="9"/>
      <c r="H3" s="323">
        <v>1</v>
      </c>
      <c r="I3" s="519">
        <v>2</v>
      </c>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row>
    <row r="4" spans="1:59">
      <c r="A4" s="14"/>
      <c r="B4" s="14"/>
      <c r="C4" s="9"/>
      <c r="D4" s="9"/>
      <c r="E4" s="9"/>
      <c r="F4" s="9"/>
      <c r="G4" s="9"/>
      <c r="H4" s="323">
        <v>2</v>
      </c>
      <c r="I4" s="519">
        <v>3</v>
      </c>
      <c r="J4" s="414"/>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row>
    <row r="5" spans="1:59">
      <c r="A5" s="14"/>
      <c r="B5" s="14"/>
      <c r="C5" s="14" t="s">
        <v>1047</v>
      </c>
      <c r="D5" s="7" t="s">
        <v>104</v>
      </c>
      <c r="E5" s="9"/>
      <c r="F5" s="9"/>
      <c r="G5" s="9"/>
      <c r="H5" s="323">
        <v>3</v>
      </c>
      <c r="I5" s="519">
        <v>4</v>
      </c>
      <c r="J5" s="9"/>
      <c r="K5" s="9"/>
      <c r="L5" s="9"/>
      <c r="M5" s="9"/>
      <c r="N5" s="415"/>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row>
    <row r="6" spans="1:59">
      <c r="A6" s="14"/>
      <c r="B6" s="14"/>
      <c r="C6" s="14" t="s">
        <v>1004</v>
      </c>
      <c r="D6" s="7">
        <v>0</v>
      </c>
      <c r="E6" s="14" t="s">
        <v>1007</v>
      </c>
      <c r="F6" s="9"/>
      <c r="G6" s="9"/>
      <c r="H6" s="324" t="s">
        <v>78</v>
      </c>
      <c r="I6" s="520">
        <v>2</v>
      </c>
      <c r="J6" s="9"/>
      <c r="K6" s="9"/>
      <c r="L6" s="9"/>
      <c r="M6" s="9"/>
      <c r="N6" s="415"/>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row>
    <row r="7" spans="1:59">
      <c r="A7" s="14"/>
      <c r="B7" s="14"/>
      <c r="C7" s="14"/>
      <c r="D7" s="9"/>
      <c r="E7" s="9"/>
      <c r="F7" s="9"/>
      <c r="G7" s="9"/>
      <c r="H7" s="9"/>
      <c r="I7" s="9"/>
      <c r="J7" s="9"/>
      <c r="K7" s="9"/>
      <c r="L7" s="9"/>
      <c r="M7" s="9"/>
      <c r="N7" s="415"/>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row>
    <row r="8" spans="1:59">
      <c r="A8" s="14"/>
      <c r="B8" s="14"/>
      <c r="C8" s="14" t="s">
        <v>1006</v>
      </c>
      <c r="D8" s="7">
        <v>0</v>
      </c>
      <c r="E8" s="9"/>
      <c r="F8" s="9"/>
      <c r="G8" s="9"/>
      <c r="H8" s="9"/>
      <c r="I8" s="9"/>
      <c r="J8" s="9"/>
      <c r="K8" s="9"/>
      <c r="L8" s="9"/>
      <c r="M8" s="9"/>
      <c r="N8" s="415"/>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row>
    <row r="9" spans="1:59">
      <c r="A9" s="14"/>
      <c r="B9" s="14"/>
      <c r="C9" s="14" t="s">
        <v>1027</v>
      </c>
      <c r="D9" s="7">
        <v>6</v>
      </c>
      <c r="E9" s="9"/>
      <c r="F9" s="9"/>
      <c r="G9" s="9"/>
      <c r="H9" s="9"/>
      <c r="I9" s="9"/>
      <c r="J9" s="9"/>
      <c r="K9" s="9"/>
      <c r="L9" s="9"/>
      <c r="M9" s="9"/>
      <c r="N9" s="415"/>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row>
    <row r="10" spans="1:59">
      <c r="A10" s="14"/>
      <c r="B10" s="14"/>
      <c r="C10" s="9"/>
      <c r="D10" s="9"/>
      <c r="E10" s="9"/>
      <c r="F10" s="9"/>
      <c r="G10" s="9"/>
      <c r="H10" s="9"/>
      <c r="I10" s="9"/>
      <c r="J10" s="9"/>
      <c r="K10" s="9"/>
      <c r="L10" s="9"/>
      <c r="M10" s="9"/>
      <c r="N10" s="415"/>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row>
    <row r="11" spans="1:59">
      <c r="A11" s="9"/>
      <c r="B11" s="9"/>
      <c r="C11" s="9"/>
      <c r="D11" s="9"/>
      <c r="E11" s="9"/>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row>
    <row r="12" spans="1:59">
      <c r="A12" s="9"/>
      <c r="B12" s="14"/>
      <c r="C12" s="14"/>
      <c r="D12" s="631" t="s">
        <v>1009</v>
      </c>
      <c r="E12" s="632"/>
      <c r="F12" s="632"/>
      <c r="G12" s="632"/>
      <c r="H12" s="632"/>
      <c r="I12" s="632"/>
      <c r="J12" s="632"/>
      <c r="K12" s="633"/>
      <c r="L12" s="631" t="s">
        <v>1028</v>
      </c>
      <c r="M12" s="632"/>
      <c r="N12" s="632"/>
      <c r="O12" s="632"/>
      <c r="P12" s="633"/>
      <c r="Q12" s="631" t="s">
        <v>1023</v>
      </c>
      <c r="R12" s="632"/>
      <c r="S12" s="632"/>
      <c r="T12" s="632"/>
      <c r="U12" s="633"/>
      <c r="V12" s="631" t="s">
        <v>1024</v>
      </c>
      <c r="W12" s="632"/>
      <c r="X12" s="632"/>
      <c r="Y12" s="633"/>
      <c r="Z12" s="634" t="s">
        <v>1031</v>
      </c>
      <c r="AA12" s="634"/>
      <c r="AB12" s="634"/>
      <c r="AC12" s="634"/>
      <c r="AD12" s="634"/>
      <c r="AE12" s="14"/>
      <c r="AF12" s="14"/>
      <c r="AG12" s="14"/>
      <c r="AH12" s="14"/>
      <c r="AI12" s="14"/>
      <c r="AJ12" s="9"/>
      <c r="AK12" s="9"/>
      <c r="AL12" s="9"/>
      <c r="AM12" s="9"/>
      <c r="AN12" s="9"/>
      <c r="AO12" s="9"/>
      <c r="AP12" s="9"/>
      <c r="AQ12" s="9"/>
      <c r="AR12" s="9"/>
      <c r="AS12" s="9"/>
      <c r="AT12" s="9"/>
      <c r="AU12" s="9"/>
      <c r="AV12" s="9"/>
      <c r="AW12" s="9"/>
      <c r="AX12" s="9"/>
      <c r="AY12" s="9"/>
      <c r="AZ12" s="9"/>
      <c r="BA12" s="9"/>
      <c r="BB12" s="9"/>
      <c r="BC12" s="9"/>
      <c r="BD12" s="9"/>
      <c r="BE12" s="9"/>
      <c r="BF12" s="9"/>
      <c r="BG12" s="9"/>
    </row>
    <row r="13" spans="1:59">
      <c r="A13" s="9"/>
      <c r="B13" s="220" t="s">
        <v>14</v>
      </c>
      <c r="C13" s="220" t="s">
        <v>1025</v>
      </c>
      <c r="D13" s="220" t="s">
        <v>1008</v>
      </c>
      <c r="E13" s="220" t="s">
        <v>86</v>
      </c>
      <c r="F13" s="220" t="s">
        <v>1015</v>
      </c>
      <c r="G13" s="220" t="s">
        <v>1016</v>
      </c>
      <c r="H13" s="220" t="s">
        <v>1017</v>
      </c>
      <c r="I13" s="220" t="s">
        <v>1018</v>
      </c>
      <c r="J13" s="220" t="s">
        <v>1019</v>
      </c>
      <c r="K13" s="220" t="s">
        <v>13</v>
      </c>
      <c r="L13" s="220" t="s">
        <v>78</v>
      </c>
      <c r="M13" s="220" t="s">
        <v>86</v>
      </c>
      <c r="N13" s="220" t="s">
        <v>87</v>
      </c>
      <c r="O13" s="220" t="s">
        <v>13</v>
      </c>
      <c r="P13" s="220" t="s">
        <v>1029</v>
      </c>
      <c r="Q13" s="220" t="s">
        <v>1022</v>
      </c>
      <c r="R13" s="220" t="s">
        <v>78</v>
      </c>
      <c r="S13" s="220" t="s">
        <v>86</v>
      </c>
      <c r="T13" s="220" t="s">
        <v>87</v>
      </c>
      <c r="U13" s="220" t="s">
        <v>13</v>
      </c>
      <c r="V13" s="220" t="s">
        <v>78</v>
      </c>
      <c r="W13" s="220" t="s">
        <v>86</v>
      </c>
      <c r="X13" s="220" t="s">
        <v>87</v>
      </c>
      <c r="Y13" s="220" t="s">
        <v>13</v>
      </c>
      <c r="Z13" s="220" t="s">
        <v>1022</v>
      </c>
      <c r="AA13" s="220" t="s">
        <v>78</v>
      </c>
      <c r="AB13" s="220" t="s">
        <v>86</v>
      </c>
      <c r="AC13" s="220" t="s">
        <v>87</v>
      </c>
      <c r="AD13" s="220" t="s">
        <v>13</v>
      </c>
      <c r="AE13" s="14"/>
      <c r="AF13" s="14"/>
      <c r="AG13" s="14"/>
      <c r="AH13" s="14"/>
      <c r="AI13" s="14"/>
      <c r="AJ13" s="9"/>
      <c r="AK13" s="9"/>
      <c r="AL13" s="9"/>
      <c r="AM13" s="9"/>
      <c r="AN13" s="9"/>
      <c r="AO13" s="9"/>
      <c r="AP13" s="9"/>
      <c r="AQ13" s="9"/>
      <c r="AR13" s="9"/>
      <c r="AS13" s="9"/>
      <c r="AT13" s="9"/>
      <c r="AU13" s="9"/>
      <c r="AV13" s="9"/>
      <c r="AW13" s="9"/>
      <c r="AX13" s="9"/>
      <c r="AY13" s="9"/>
      <c r="AZ13" s="9"/>
      <c r="BA13" s="9"/>
      <c r="BB13" s="9"/>
      <c r="BC13" s="9"/>
      <c r="BD13" s="9"/>
      <c r="BE13" s="9"/>
      <c r="BF13" s="9"/>
      <c r="BG13" s="9"/>
    </row>
    <row r="14" spans="1:59">
      <c r="A14" s="9"/>
      <c r="B14" s="220"/>
      <c r="C14" s="220" t="s">
        <v>1026</v>
      </c>
      <c r="D14" s="220"/>
      <c r="E14" s="220">
        <f>IF($D$5="No",0,IF(OR(Input!B11="Seismic",Input!B11="Wildcat"),1,0)+$D$8)</f>
        <v>0</v>
      </c>
      <c r="F14" s="220">
        <f>IF($D$5="No",0,IF(OR(Input!B11="Seismic",Input!B11="Wildcat"),1+E14,IF(Input!B11="Appraisal",1+$D$8,0)))</f>
        <v>0</v>
      </c>
      <c r="G14" s="220">
        <f>IF(F14&gt;0,1+F14,0)</f>
        <v>0</v>
      </c>
      <c r="H14" s="220">
        <f>IF(G14&gt;0,1+G14,0)</f>
        <v>0</v>
      </c>
      <c r="I14" s="220">
        <f>IF(H14&gt;0,1+H14,0)</f>
        <v>0</v>
      </c>
      <c r="J14" s="220">
        <f>IF(I14&gt;0,1+I14,0)</f>
        <v>0</v>
      </c>
      <c r="K14" s="220"/>
      <c r="L14" s="220"/>
      <c r="M14" s="220"/>
      <c r="N14" s="220"/>
      <c r="O14" s="521">
        <v>0.25</v>
      </c>
      <c r="P14" s="220"/>
      <c r="Q14" s="220"/>
      <c r="R14" s="220"/>
      <c r="S14" s="220"/>
      <c r="T14" s="220"/>
      <c r="U14" s="220"/>
      <c r="V14" s="521">
        <f>Exploration!C5</f>
        <v>1</v>
      </c>
      <c r="W14" s="521">
        <f ca="1">Exploration!C6</f>
        <v>1</v>
      </c>
      <c r="X14" s="521">
        <f ca="1">Exploration!W35</f>
        <v>1</v>
      </c>
      <c r="Y14" s="220"/>
      <c r="Z14" s="220"/>
      <c r="AA14" s="220"/>
      <c r="AB14" s="220"/>
      <c r="AC14" s="220"/>
      <c r="AD14" s="220"/>
      <c r="AE14" s="14"/>
      <c r="AF14" s="14"/>
      <c r="AG14" s="14"/>
      <c r="AH14" s="14"/>
      <c r="AI14" s="14"/>
      <c r="AJ14" s="9"/>
      <c r="AK14" s="9"/>
      <c r="AL14" s="9"/>
      <c r="AM14" s="9"/>
      <c r="AN14" s="9"/>
      <c r="AO14" s="9"/>
      <c r="AP14" s="9"/>
      <c r="AQ14" s="9"/>
      <c r="AR14" s="9"/>
      <c r="AS14" s="9"/>
      <c r="AT14" s="9"/>
      <c r="AU14" s="9"/>
      <c r="AV14" s="9"/>
      <c r="AW14" s="9"/>
      <c r="AX14" s="9"/>
      <c r="AY14" s="9"/>
      <c r="AZ14" s="9"/>
      <c r="BA14" s="9"/>
      <c r="BB14" s="9"/>
      <c r="BC14" s="9"/>
      <c r="BD14" s="9"/>
      <c r="BE14" s="9"/>
      <c r="BF14" s="9"/>
      <c r="BG14" s="9"/>
    </row>
    <row r="15" spans="1:59">
      <c r="A15" s="9"/>
      <c r="B15" s="220"/>
      <c r="C15" s="220" t="s">
        <v>1005</v>
      </c>
      <c r="D15" s="521">
        <f>I6*(D5="Yes")</f>
        <v>0</v>
      </c>
      <c r="E15" s="521" t="b">
        <f t="shared" ref="E15:J15" si="0">IF(E14&gt;0,VLOOKUP(E14,$H$3:$I$5,2))</f>
        <v>0</v>
      </c>
      <c r="F15" s="521" t="b">
        <f t="shared" si="0"/>
        <v>0</v>
      </c>
      <c r="G15" s="521" t="b">
        <f t="shared" si="0"/>
        <v>0</v>
      </c>
      <c r="H15" s="521" t="b">
        <f t="shared" si="0"/>
        <v>0</v>
      </c>
      <c r="I15" s="521" t="b">
        <f t="shared" si="0"/>
        <v>0</v>
      </c>
      <c r="J15" s="521" t="b">
        <f t="shared" si="0"/>
        <v>0</v>
      </c>
      <c r="K15" s="522" t="s">
        <v>13</v>
      </c>
      <c r="L15" s="522">
        <f>SUM(L16:L23)</f>
        <v>0</v>
      </c>
      <c r="M15" s="522">
        <f>SUM(M16:M23)</f>
        <v>0</v>
      </c>
      <c r="N15" s="522">
        <f>SUM(N16:N23)</f>
        <v>0</v>
      </c>
      <c r="O15" s="522">
        <f>SUM(L15:N15)</f>
        <v>0</v>
      </c>
      <c r="P15" s="58"/>
      <c r="Q15" s="523" t="s">
        <v>1030</v>
      </c>
      <c r="R15" s="522">
        <f ca="1">SUM(R16:R23)</f>
        <v>0</v>
      </c>
      <c r="S15" s="522">
        <f ca="1">SUM(S16:S23)</f>
        <v>0</v>
      </c>
      <c r="T15" s="522">
        <f ca="1">SUM(T16:T23)</f>
        <v>0</v>
      </c>
      <c r="U15" s="522">
        <f ca="1">SUM(R15:T15)</f>
        <v>0</v>
      </c>
      <c r="V15" s="524">
        <f>SUM(V16:V23)</f>
        <v>0</v>
      </c>
      <c r="W15" s="524">
        <f ca="1">SUM(W16:W23)</f>
        <v>0</v>
      </c>
      <c r="X15" s="524">
        <f ca="1">SUM(X16:X23)</f>
        <v>0</v>
      </c>
      <c r="Y15" s="524">
        <f ca="1">SUM(Y16:Y23)</f>
        <v>0</v>
      </c>
      <c r="Z15" s="525"/>
      <c r="AA15" s="524">
        <f ca="1">SUM(AA16:AA23)</f>
        <v>0</v>
      </c>
      <c r="AB15" s="524">
        <f ca="1">SUM(AB16:AB23)</f>
        <v>0</v>
      </c>
      <c r="AC15" s="524">
        <f ca="1">SUM(AC16:AC23)</f>
        <v>0</v>
      </c>
      <c r="AD15" s="524">
        <f ca="1">SUM(AA15:AC15)</f>
        <v>0</v>
      </c>
      <c r="AE15" s="14"/>
      <c r="AF15" s="14"/>
      <c r="AG15" s="14"/>
      <c r="AH15" s="14"/>
      <c r="AI15" s="14"/>
      <c r="AJ15" s="9"/>
      <c r="AK15" s="9"/>
      <c r="AL15" s="9"/>
      <c r="AM15" s="9"/>
      <c r="AN15" s="9"/>
      <c r="AO15" s="9"/>
      <c r="AP15" s="9"/>
      <c r="AQ15" s="9"/>
      <c r="AR15" s="9"/>
      <c r="AS15" s="9"/>
      <c r="AT15" s="9"/>
      <c r="AU15" s="9"/>
      <c r="AV15" s="9"/>
      <c r="AW15" s="9"/>
      <c r="AX15" s="9"/>
      <c r="AY15" s="9"/>
      <c r="AZ15" s="9"/>
      <c r="BA15" s="9"/>
      <c r="BB15" s="9"/>
      <c r="BC15" s="9"/>
      <c r="BD15" s="9"/>
      <c r="BE15" s="9"/>
      <c r="BF15" s="9"/>
      <c r="BG15" s="9"/>
    </row>
    <row r="16" spans="1:59">
      <c r="A16" s="9"/>
      <c r="B16" s="317">
        <f>Exploration!B37</f>
        <v>2023</v>
      </c>
      <c r="C16" s="526">
        <f>IF(D5="No",0,D6)</f>
        <v>0</v>
      </c>
      <c r="D16" s="526">
        <f>Exploration!P37*D$15</f>
        <v>0</v>
      </c>
      <c r="E16" s="526">
        <f>E$15*Exploration!Q37</f>
        <v>0</v>
      </c>
      <c r="F16" s="526">
        <f>Exploration!I37*'Selected Economics'!$J11*'Sensitivity Ranges'!$F$46*F$15</f>
        <v>0</v>
      </c>
      <c r="G16" s="526">
        <f>Exploration!J37*'Selected Economics'!$J11*'Sensitivity Ranges'!$F$46*G$15</f>
        <v>0</v>
      </c>
      <c r="H16" s="526">
        <f>Exploration!K37*'Selected Economics'!$J11*'Sensitivity Ranges'!$F$46*H$15</f>
        <v>0</v>
      </c>
      <c r="I16" s="526">
        <f>Exploration!L37*'Selected Economics'!$J11*'Sensitivity Ranges'!$F$46*I$15</f>
        <v>0</v>
      </c>
      <c r="J16" s="526">
        <f>Exploration!M37*'Selected Economics'!$J11*'Sensitivity Ranges'!$F$46*J$15</f>
        <v>0</v>
      </c>
      <c r="K16" s="526">
        <f>SUM(D16:J16)</f>
        <v>0</v>
      </c>
      <c r="L16" s="526">
        <f t="shared" ref="L16:L23" si="1">MIN($C16,D16*O$14)</f>
        <v>0</v>
      </c>
      <c r="M16" s="526">
        <f>MIN($C16-L16,E16*$O$14)</f>
        <v>0</v>
      </c>
      <c r="N16" s="526">
        <f t="shared" ref="N16:N23" si="2">MIN($C16-L16-M16,SUM(F16:J16)*$O$14)</f>
        <v>0</v>
      </c>
      <c r="O16" s="526">
        <f>SUM(L16:N16)</f>
        <v>0</v>
      </c>
      <c r="P16" s="526">
        <f t="shared" ref="P16:P23" si="3">C16-O16</f>
        <v>0</v>
      </c>
      <c r="Q16" s="527">
        <f t="shared" ref="Q16:Q23" ca="1" si="4">Z16</f>
        <v>0</v>
      </c>
      <c r="R16" s="526">
        <f t="shared" ref="R16:T23" ca="1" si="5">$Q16*L16</f>
        <v>0</v>
      </c>
      <c r="S16" s="526">
        <f t="shared" ca="1" si="5"/>
        <v>0</v>
      </c>
      <c r="T16" s="526">
        <f t="shared" ca="1" si="5"/>
        <v>0</v>
      </c>
      <c r="U16" s="526">
        <f ca="1">SUM(R16:T16)</f>
        <v>0</v>
      </c>
      <c r="V16" s="528">
        <f>L16*V$14</f>
        <v>0</v>
      </c>
      <c r="W16" s="528">
        <f ca="1">M16*W$14</f>
        <v>0</v>
      </c>
      <c r="X16" s="528">
        <f ca="1">N16*X$14</f>
        <v>0</v>
      </c>
      <c r="Y16" s="528">
        <f ca="1">SUM(V16:X16)</f>
        <v>0</v>
      </c>
      <c r="Z16" s="529">
        <f ca="1">'Risked Cash Flow'!AH10</f>
        <v>0</v>
      </c>
      <c r="AA16" s="528">
        <f t="shared" ref="AA16:AC23" ca="1" si="6">$Z16*V16</f>
        <v>0</v>
      </c>
      <c r="AB16" s="528">
        <f t="shared" ca="1" si="6"/>
        <v>0</v>
      </c>
      <c r="AC16" s="528">
        <f t="shared" ca="1" si="6"/>
        <v>0</v>
      </c>
      <c r="AD16" s="528">
        <f ca="1">SUM(AA16:AC16)</f>
        <v>0</v>
      </c>
      <c r="AE16" s="14"/>
      <c r="AF16" s="14"/>
      <c r="AG16" s="14"/>
      <c r="AH16" s="14"/>
      <c r="AI16" s="14"/>
      <c r="AJ16" s="9"/>
      <c r="AK16" s="9"/>
      <c r="AL16" s="9"/>
      <c r="AM16" s="9"/>
      <c r="AN16" s="9"/>
      <c r="AO16" s="9"/>
      <c r="AP16" s="9"/>
      <c r="AQ16" s="9"/>
      <c r="AR16" s="9"/>
      <c r="AS16" s="9"/>
      <c r="AT16" s="9"/>
      <c r="AU16" s="9"/>
      <c r="AV16" s="9"/>
      <c r="AW16" s="9"/>
      <c r="AX16" s="9"/>
      <c r="AY16" s="9"/>
      <c r="AZ16" s="9"/>
      <c r="BA16" s="9"/>
      <c r="BB16" s="9"/>
      <c r="BC16" s="9"/>
      <c r="BD16" s="9"/>
      <c r="BE16" s="9"/>
      <c r="BF16" s="9"/>
      <c r="BG16" s="9"/>
    </row>
    <row r="17" spans="1:59">
      <c r="A17" s="9"/>
      <c r="B17" s="317">
        <f>Exploration!B38</f>
        <v>2024</v>
      </c>
      <c r="C17" s="526">
        <f t="shared" ref="C17:C23" si="7">IF(B17-B$16&gt;$D$9,0,P16)</f>
        <v>0</v>
      </c>
      <c r="D17" s="526">
        <f>Exploration!P38*D$15</f>
        <v>0</v>
      </c>
      <c r="E17" s="526">
        <f>E$15*Exploration!Q38</f>
        <v>0</v>
      </c>
      <c r="F17" s="526">
        <f>Exploration!I38*'Selected Economics'!$J12*'Sensitivity Ranges'!$F$46*F$15</f>
        <v>0</v>
      </c>
      <c r="G17" s="526">
        <f>Exploration!J38*'Selected Economics'!$J12*'Sensitivity Ranges'!$F$46*G$15</f>
        <v>0</v>
      </c>
      <c r="H17" s="526">
        <f>Exploration!K38*'Selected Economics'!$J12*'Sensitivity Ranges'!$F$46*H$15</f>
        <v>0</v>
      </c>
      <c r="I17" s="526">
        <f>Exploration!L38*'Selected Economics'!$J12*'Sensitivity Ranges'!$F$46*I$15</f>
        <v>0</v>
      </c>
      <c r="J17" s="526">
        <f>Exploration!M38*'Selected Economics'!$J12*'Sensitivity Ranges'!$F$46*J$15</f>
        <v>0</v>
      </c>
      <c r="K17" s="526">
        <f t="shared" ref="K17:K23" si="8">SUM(D17:J17)</f>
        <v>0</v>
      </c>
      <c r="L17" s="526">
        <f t="shared" si="1"/>
        <v>0</v>
      </c>
      <c r="M17" s="526">
        <f t="shared" ref="M17:M23" si="9">MIN($C17-L17,E17*O$14)</f>
        <v>0</v>
      </c>
      <c r="N17" s="526">
        <f t="shared" si="2"/>
        <v>0</v>
      </c>
      <c r="O17" s="526">
        <f t="shared" ref="O17:O23" si="10">SUM(L17:N17)</f>
        <v>0</v>
      </c>
      <c r="P17" s="526">
        <f t="shared" si="3"/>
        <v>0</v>
      </c>
      <c r="Q17" s="527">
        <f t="shared" ca="1" si="4"/>
        <v>0</v>
      </c>
      <c r="R17" s="526">
        <f t="shared" ca="1" si="5"/>
        <v>0</v>
      </c>
      <c r="S17" s="526">
        <f t="shared" ca="1" si="5"/>
        <v>0</v>
      </c>
      <c r="T17" s="526">
        <f t="shared" ca="1" si="5"/>
        <v>0</v>
      </c>
      <c r="U17" s="526">
        <f t="shared" ref="U17:U23" ca="1" si="11">SUM(R17:T17)</f>
        <v>0</v>
      </c>
      <c r="V17" s="526">
        <f t="shared" ref="V17:V23" si="12">MIN($D28,E28*O$14)</f>
        <v>0</v>
      </c>
      <c r="W17" s="526">
        <f t="shared" ref="W17:X23" ca="1" si="13">M17*W$14</f>
        <v>0</v>
      </c>
      <c r="X17" s="526">
        <f t="shared" ca="1" si="13"/>
        <v>0</v>
      </c>
      <c r="Y17" s="526">
        <f t="shared" ref="Y17:Y23" ca="1" si="14">SUM(V17:X17)</f>
        <v>0</v>
      </c>
      <c r="Z17" s="530">
        <f ca="1">'Risked Cash Flow'!AH11</f>
        <v>0</v>
      </c>
      <c r="AA17" s="526">
        <f t="shared" ca="1" si="6"/>
        <v>0</v>
      </c>
      <c r="AB17" s="526">
        <f t="shared" ca="1" si="6"/>
        <v>0</v>
      </c>
      <c r="AC17" s="526">
        <f t="shared" ca="1" si="6"/>
        <v>0</v>
      </c>
      <c r="AD17" s="526">
        <f t="shared" ref="AD17:AD23" ca="1" si="15">SUM(AA17:AC17)</f>
        <v>0</v>
      </c>
      <c r="AE17" s="14"/>
      <c r="AF17" s="14"/>
      <c r="AG17" s="14"/>
      <c r="AH17" s="14"/>
      <c r="AI17" s="14"/>
      <c r="AJ17" s="9"/>
      <c r="AK17" s="9"/>
      <c r="AL17" s="9"/>
      <c r="AM17" s="9"/>
      <c r="AN17" s="9"/>
      <c r="AO17" s="9"/>
      <c r="AP17" s="9"/>
      <c r="AQ17" s="9"/>
      <c r="AR17" s="9"/>
      <c r="AS17" s="9"/>
      <c r="AT17" s="9"/>
      <c r="AU17" s="9"/>
      <c r="AV17" s="9"/>
      <c r="AW17" s="9"/>
      <c r="AX17" s="9"/>
      <c r="AY17" s="9"/>
      <c r="AZ17" s="9"/>
      <c r="BA17" s="9"/>
      <c r="BB17" s="9"/>
      <c r="BC17" s="9"/>
      <c r="BD17" s="9"/>
      <c r="BE17" s="9"/>
      <c r="BF17" s="9"/>
      <c r="BG17" s="9"/>
    </row>
    <row r="18" spans="1:59">
      <c r="A18" s="9"/>
      <c r="B18" s="317">
        <f>Exploration!B39</f>
        <v>2025</v>
      </c>
      <c r="C18" s="526">
        <f t="shared" si="7"/>
        <v>0</v>
      </c>
      <c r="D18" s="526">
        <f>Exploration!P39*D$15</f>
        <v>0</v>
      </c>
      <c r="E18" s="526">
        <f>E$15*Exploration!Q39</f>
        <v>0</v>
      </c>
      <c r="F18" s="526">
        <f>Exploration!I39*'Selected Economics'!$J13*'Sensitivity Ranges'!$F$46*F$15</f>
        <v>0</v>
      </c>
      <c r="G18" s="526">
        <f>Exploration!J39*'Selected Economics'!$J13*'Sensitivity Ranges'!$F$46*G$15</f>
        <v>0</v>
      </c>
      <c r="H18" s="526">
        <f>Exploration!K39*'Selected Economics'!$J13*'Sensitivity Ranges'!$F$46*H$15</f>
        <v>0</v>
      </c>
      <c r="I18" s="526">
        <f>Exploration!L39*'Selected Economics'!$J13*'Sensitivity Ranges'!$F$46*I$15</f>
        <v>0</v>
      </c>
      <c r="J18" s="526">
        <f>Exploration!M39*'Selected Economics'!$J13*'Sensitivity Ranges'!$F$46*J$15</f>
        <v>0</v>
      </c>
      <c r="K18" s="526">
        <f t="shared" si="8"/>
        <v>0</v>
      </c>
      <c r="L18" s="526">
        <f t="shared" si="1"/>
        <v>0</v>
      </c>
      <c r="M18" s="526">
        <f t="shared" si="9"/>
        <v>0</v>
      </c>
      <c r="N18" s="526">
        <f t="shared" si="2"/>
        <v>0</v>
      </c>
      <c r="O18" s="526">
        <f t="shared" si="10"/>
        <v>0</v>
      </c>
      <c r="P18" s="526">
        <f t="shared" si="3"/>
        <v>0</v>
      </c>
      <c r="Q18" s="527">
        <f t="shared" ca="1" si="4"/>
        <v>0</v>
      </c>
      <c r="R18" s="526">
        <f t="shared" ca="1" si="5"/>
        <v>0</v>
      </c>
      <c r="S18" s="526">
        <f t="shared" ca="1" si="5"/>
        <v>0</v>
      </c>
      <c r="T18" s="526">
        <f t="shared" ca="1" si="5"/>
        <v>0</v>
      </c>
      <c r="U18" s="526">
        <f t="shared" ca="1" si="11"/>
        <v>0</v>
      </c>
      <c r="V18" s="526">
        <f t="shared" si="12"/>
        <v>0</v>
      </c>
      <c r="W18" s="526">
        <f t="shared" ca="1" si="13"/>
        <v>0</v>
      </c>
      <c r="X18" s="526">
        <f t="shared" ca="1" si="13"/>
        <v>0</v>
      </c>
      <c r="Y18" s="526">
        <f t="shared" ca="1" si="14"/>
        <v>0</v>
      </c>
      <c r="Z18" s="530">
        <f ca="1">'Risked Cash Flow'!AH12</f>
        <v>0</v>
      </c>
      <c r="AA18" s="526">
        <f t="shared" ca="1" si="6"/>
        <v>0</v>
      </c>
      <c r="AB18" s="526">
        <f t="shared" ca="1" si="6"/>
        <v>0</v>
      </c>
      <c r="AC18" s="526">
        <f t="shared" ca="1" si="6"/>
        <v>0</v>
      </c>
      <c r="AD18" s="526">
        <f t="shared" ca="1" si="15"/>
        <v>0</v>
      </c>
      <c r="AE18" s="14"/>
      <c r="AF18" s="14"/>
      <c r="AG18" s="14"/>
      <c r="AH18" s="14"/>
      <c r="AI18" s="14"/>
      <c r="AJ18" s="9"/>
      <c r="AK18" s="9"/>
      <c r="AL18" s="9"/>
      <c r="AM18" s="9"/>
      <c r="AN18" s="9"/>
      <c r="AO18" s="9"/>
      <c r="AP18" s="9"/>
      <c r="AQ18" s="9"/>
      <c r="AR18" s="9"/>
      <c r="AS18" s="9"/>
      <c r="AT18" s="9"/>
      <c r="AU18" s="9"/>
      <c r="AV18" s="9"/>
      <c r="AW18" s="9"/>
      <c r="AX18" s="9"/>
      <c r="AY18" s="9"/>
      <c r="AZ18" s="9"/>
      <c r="BA18" s="9"/>
      <c r="BB18" s="9"/>
      <c r="BC18" s="9"/>
      <c r="BD18" s="9"/>
      <c r="BE18" s="9"/>
      <c r="BF18" s="9"/>
      <c r="BG18" s="9"/>
    </row>
    <row r="19" spans="1:59">
      <c r="A19" s="9"/>
      <c r="B19" s="317">
        <f>Exploration!B40</f>
        <v>2026</v>
      </c>
      <c r="C19" s="526">
        <f t="shared" si="7"/>
        <v>0</v>
      </c>
      <c r="D19" s="526">
        <f>Exploration!P40*D$15</f>
        <v>0</v>
      </c>
      <c r="E19" s="526">
        <f>E$15*Exploration!Q40</f>
        <v>0</v>
      </c>
      <c r="F19" s="526">
        <f>Exploration!I40*'Selected Economics'!$J14*'Sensitivity Ranges'!$F$46*F$15</f>
        <v>0</v>
      </c>
      <c r="G19" s="526">
        <f>Exploration!J40*'Selected Economics'!$J14*'Sensitivity Ranges'!$F$46*G$15</f>
        <v>0</v>
      </c>
      <c r="H19" s="526">
        <f>Exploration!K40*'Selected Economics'!$J14*'Sensitivity Ranges'!$F$46*H$15</f>
        <v>0</v>
      </c>
      <c r="I19" s="526">
        <f>Exploration!L40*'Selected Economics'!$J14*'Sensitivity Ranges'!$F$46*I$15</f>
        <v>0</v>
      </c>
      <c r="J19" s="526">
        <f>Exploration!M40*'Selected Economics'!$J14*'Sensitivity Ranges'!$F$46*J$15</f>
        <v>0</v>
      </c>
      <c r="K19" s="526">
        <f t="shared" si="8"/>
        <v>0</v>
      </c>
      <c r="L19" s="526">
        <f t="shared" si="1"/>
        <v>0</v>
      </c>
      <c r="M19" s="526">
        <f t="shared" si="9"/>
        <v>0</v>
      </c>
      <c r="N19" s="526">
        <f t="shared" si="2"/>
        <v>0</v>
      </c>
      <c r="O19" s="526">
        <f t="shared" si="10"/>
        <v>0</v>
      </c>
      <c r="P19" s="526">
        <f t="shared" si="3"/>
        <v>0</v>
      </c>
      <c r="Q19" s="527">
        <f t="shared" ca="1" si="4"/>
        <v>0.95346258924559224</v>
      </c>
      <c r="R19" s="526">
        <f t="shared" ca="1" si="5"/>
        <v>0</v>
      </c>
      <c r="S19" s="526">
        <f t="shared" ca="1" si="5"/>
        <v>0</v>
      </c>
      <c r="T19" s="526">
        <f t="shared" ca="1" si="5"/>
        <v>0</v>
      </c>
      <c r="U19" s="526">
        <f t="shared" ca="1" si="11"/>
        <v>0</v>
      </c>
      <c r="V19" s="526">
        <f t="shared" si="12"/>
        <v>0</v>
      </c>
      <c r="W19" s="526">
        <f t="shared" ca="1" si="13"/>
        <v>0</v>
      </c>
      <c r="X19" s="526">
        <f t="shared" ca="1" si="13"/>
        <v>0</v>
      </c>
      <c r="Y19" s="526">
        <f t="shared" ca="1" si="14"/>
        <v>0</v>
      </c>
      <c r="Z19" s="530">
        <f ca="1">'Risked Cash Flow'!AH13</f>
        <v>0.95346258924559224</v>
      </c>
      <c r="AA19" s="526">
        <f t="shared" ca="1" si="6"/>
        <v>0</v>
      </c>
      <c r="AB19" s="526">
        <f t="shared" ca="1" si="6"/>
        <v>0</v>
      </c>
      <c r="AC19" s="526">
        <f t="shared" ca="1" si="6"/>
        <v>0</v>
      </c>
      <c r="AD19" s="526">
        <f t="shared" ca="1" si="15"/>
        <v>0</v>
      </c>
      <c r="AE19" s="14"/>
      <c r="AF19" s="14"/>
      <c r="AG19" s="14"/>
      <c r="AH19" s="14"/>
      <c r="AI19" s="14"/>
      <c r="AJ19" s="9"/>
      <c r="AK19" s="9"/>
      <c r="AL19" s="9"/>
      <c r="AM19" s="9"/>
      <c r="AN19" s="9"/>
      <c r="AO19" s="9"/>
      <c r="AP19" s="9"/>
      <c r="AQ19" s="9"/>
      <c r="AR19" s="9"/>
      <c r="AS19" s="9"/>
      <c r="AT19" s="9"/>
      <c r="AU19" s="9"/>
      <c r="AV19" s="9"/>
      <c r="AW19" s="9"/>
      <c r="AX19" s="9"/>
      <c r="AY19" s="9"/>
      <c r="AZ19" s="9"/>
      <c r="BA19" s="9"/>
      <c r="BB19" s="9"/>
      <c r="BC19" s="9"/>
      <c r="BD19" s="9"/>
      <c r="BE19" s="9"/>
      <c r="BF19" s="9"/>
      <c r="BG19" s="9"/>
    </row>
    <row r="20" spans="1:59">
      <c r="A20" s="9"/>
      <c r="B20" s="317">
        <f>Exploration!B41</f>
        <v>2027</v>
      </c>
      <c r="C20" s="526">
        <f t="shared" si="7"/>
        <v>0</v>
      </c>
      <c r="D20" s="526">
        <f>Exploration!P41*D$15</f>
        <v>0</v>
      </c>
      <c r="E20" s="526">
        <f>E$15*Exploration!Q41</f>
        <v>0</v>
      </c>
      <c r="F20" s="526">
        <f>Exploration!I41*'Selected Economics'!$J15*'Sensitivity Ranges'!$F$46*F$15</f>
        <v>0</v>
      </c>
      <c r="G20" s="526">
        <f>Exploration!J41*'Selected Economics'!$J15*'Sensitivity Ranges'!$F$46*G$15</f>
        <v>0</v>
      </c>
      <c r="H20" s="526">
        <f>Exploration!K41*'Selected Economics'!$J15*'Sensitivity Ranges'!$F$46*H$15</f>
        <v>0</v>
      </c>
      <c r="I20" s="526">
        <f>Exploration!L41*'Selected Economics'!$J15*'Sensitivity Ranges'!$F$46*I$15</f>
        <v>0</v>
      </c>
      <c r="J20" s="526">
        <f>Exploration!M41*'Selected Economics'!$J15*'Sensitivity Ranges'!$F$46*J$15</f>
        <v>0</v>
      </c>
      <c r="K20" s="526">
        <f t="shared" si="8"/>
        <v>0</v>
      </c>
      <c r="L20" s="526">
        <f t="shared" si="1"/>
        <v>0</v>
      </c>
      <c r="M20" s="526">
        <f t="shared" si="9"/>
        <v>0</v>
      </c>
      <c r="N20" s="526">
        <f t="shared" si="2"/>
        <v>0</v>
      </c>
      <c r="O20" s="526">
        <f t="shared" si="10"/>
        <v>0</v>
      </c>
      <c r="P20" s="526">
        <f t="shared" si="3"/>
        <v>0</v>
      </c>
      <c r="Q20" s="527">
        <f t="shared" ca="1" si="4"/>
        <v>0.86678417204144742</v>
      </c>
      <c r="R20" s="526">
        <f t="shared" ca="1" si="5"/>
        <v>0</v>
      </c>
      <c r="S20" s="526">
        <f t="shared" ca="1" si="5"/>
        <v>0</v>
      </c>
      <c r="T20" s="526">
        <f t="shared" ca="1" si="5"/>
        <v>0</v>
      </c>
      <c r="U20" s="526">
        <f t="shared" ca="1" si="11"/>
        <v>0</v>
      </c>
      <c r="V20" s="526">
        <f t="shared" si="12"/>
        <v>0</v>
      </c>
      <c r="W20" s="526">
        <f t="shared" ca="1" si="13"/>
        <v>0</v>
      </c>
      <c r="X20" s="526">
        <f t="shared" ca="1" si="13"/>
        <v>0</v>
      </c>
      <c r="Y20" s="526">
        <f t="shared" ca="1" si="14"/>
        <v>0</v>
      </c>
      <c r="Z20" s="530">
        <f ca="1">'Risked Cash Flow'!AH14</f>
        <v>0.86678417204144742</v>
      </c>
      <c r="AA20" s="526">
        <f t="shared" ca="1" si="6"/>
        <v>0</v>
      </c>
      <c r="AB20" s="526">
        <f t="shared" ca="1" si="6"/>
        <v>0</v>
      </c>
      <c r="AC20" s="526">
        <f t="shared" ca="1" si="6"/>
        <v>0</v>
      </c>
      <c r="AD20" s="526">
        <f t="shared" ca="1" si="15"/>
        <v>0</v>
      </c>
      <c r="AE20" s="14"/>
      <c r="AF20" s="14"/>
      <c r="AG20" s="14"/>
      <c r="AH20" s="14"/>
      <c r="AI20" s="14"/>
      <c r="AJ20" s="9"/>
      <c r="AK20" s="9"/>
      <c r="AL20" s="9"/>
      <c r="AM20" s="9"/>
      <c r="AN20" s="9"/>
      <c r="AO20" s="9"/>
      <c r="AP20" s="9"/>
      <c r="AQ20" s="9"/>
      <c r="AR20" s="9"/>
      <c r="AS20" s="9"/>
      <c r="AT20" s="9"/>
      <c r="AU20" s="9"/>
      <c r="AV20" s="9"/>
      <c r="AW20" s="9"/>
      <c r="AX20" s="9"/>
      <c r="AY20" s="9"/>
      <c r="AZ20" s="9"/>
      <c r="BA20" s="9"/>
      <c r="BB20" s="9"/>
      <c r="BC20" s="9"/>
      <c r="BD20" s="9"/>
      <c r="BE20" s="9"/>
      <c r="BF20" s="9"/>
      <c r="BG20" s="9"/>
    </row>
    <row r="21" spans="1:59">
      <c r="A21" s="9"/>
      <c r="B21" s="317">
        <f>Exploration!B42</f>
        <v>2028</v>
      </c>
      <c r="C21" s="526">
        <f t="shared" si="7"/>
        <v>0</v>
      </c>
      <c r="D21" s="526">
        <f>Exploration!P42*D$15</f>
        <v>0</v>
      </c>
      <c r="E21" s="526">
        <f>E$15*Exploration!Q42</f>
        <v>0</v>
      </c>
      <c r="F21" s="526">
        <f>Exploration!I42*'Selected Economics'!$J16*'Sensitivity Ranges'!$F$46*F$15</f>
        <v>0</v>
      </c>
      <c r="G21" s="526">
        <f>Exploration!J42*'Selected Economics'!$J16*'Sensitivity Ranges'!$F$46*G$15</f>
        <v>0</v>
      </c>
      <c r="H21" s="526">
        <f>Exploration!K42*'Selected Economics'!$J16*'Sensitivity Ranges'!$F$46*H$15</f>
        <v>0</v>
      </c>
      <c r="I21" s="526">
        <f>Exploration!L42*'Selected Economics'!$J16*'Sensitivity Ranges'!$F$46*I$15</f>
        <v>0</v>
      </c>
      <c r="J21" s="526">
        <f>Exploration!M42*'Selected Economics'!$J16*'Sensitivity Ranges'!$F$46*J$15</f>
        <v>0</v>
      </c>
      <c r="K21" s="526">
        <f t="shared" si="8"/>
        <v>0</v>
      </c>
      <c r="L21" s="526">
        <f t="shared" si="1"/>
        <v>0</v>
      </c>
      <c r="M21" s="526">
        <f t="shared" si="9"/>
        <v>0</v>
      </c>
      <c r="N21" s="526">
        <f t="shared" si="2"/>
        <v>0</v>
      </c>
      <c r="O21" s="526">
        <f t="shared" si="10"/>
        <v>0</v>
      </c>
      <c r="P21" s="526">
        <f t="shared" si="3"/>
        <v>0</v>
      </c>
      <c r="Q21" s="527">
        <f t="shared" ca="1" si="4"/>
        <v>0.78798561094677033</v>
      </c>
      <c r="R21" s="526">
        <f t="shared" ca="1" si="5"/>
        <v>0</v>
      </c>
      <c r="S21" s="526">
        <f t="shared" ca="1" si="5"/>
        <v>0</v>
      </c>
      <c r="T21" s="526">
        <f t="shared" ca="1" si="5"/>
        <v>0</v>
      </c>
      <c r="U21" s="526">
        <f t="shared" ca="1" si="11"/>
        <v>0</v>
      </c>
      <c r="V21" s="526">
        <f t="shared" si="12"/>
        <v>0</v>
      </c>
      <c r="W21" s="526">
        <f t="shared" ca="1" si="13"/>
        <v>0</v>
      </c>
      <c r="X21" s="526">
        <f t="shared" ca="1" si="13"/>
        <v>0</v>
      </c>
      <c r="Y21" s="526">
        <f t="shared" ca="1" si="14"/>
        <v>0</v>
      </c>
      <c r="Z21" s="530">
        <f ca="1">'Risked Cash Flow'!AH15</f>
        <v>0.78798561094677033</v>
      </c>
      <c r="AA21" s="526">
        <f t="shared" ca="1" si="6"/>
        <v>0</v>
      </c>
      <c r="AB21" s="526">
        <f t="shared" ca="1" si="6"/>
        <v>0</v>
      </c>
      <c r="AC21" s="526">
        <f t="shared" ca="1" si="6"/>
        <v>0</v>
      </c>
      <c r="AD21" s="526">
        <f t="shared" ca="1" si="15"/>
        <v>0</v>
      </c>
      <c r="AE21" s="14"/>
      <c r="AF21" s="14"/>
      <c r="AG21" s="14"/>
      <c r="AH21" s="14"/>
      <c r="AI21" s="14"/>
      <c r="AJ21" s="9"/>
      <c r="AK21" s="9"/>
      <c r="AL21" s="9"/>
      <c r="AM21" s="9"/>
      <c r="AN21" s="9"/>
      <c r="AO21" s="9"/>
      <c r="AP21" s="9"/>
      <c r="AQ21" s="9"/>
      <c r="AR21" s="9"/>
      <c r="AS21" s="9"/>
      <c r="AT21" s="9"/>
      <c r="AU21" s="9"/>
      <c r="AV21" s="9"/>
      <c r="AW21" s="9"/>
      <c r="AX21" s="9"/>
      <c r="AY21" s="9"/>
      <c r="AZ21" s="9"/>
      <c r="BA21" s="9"/>
      <c r="BB21" s="9"/>
      <c r="BC21" s="9"/>
      <c r="BD21" s="9"/>
      <c r="BE21" s="9"/>
      <c r="BF21" s="9"/>
      <c r="BG21" s="9"/>
    </row>
    <row r="22" spans="1:59">
      <c r="A22" s="9"/>
      <c r="B22" s="317">
        <f>Exploration!B43</f>
        <v>2029</v>
      </c>
      <c r="C22" s="526">
        <f t="shared" si="7"/>
        <v>0</v>
      </c>
      <c r="D22" s="526">
        <f>Exploration!P43*D$15</f>
        <v>0</v>
      </c>
      <c r="E22" s="526">
        <f>E$15*Exploration!Q43</f>
        <v>0</v>
      </c>
      <c r="F22" s="526">
        <f>Exploration!I43*'Selected Economics'!$J17*'Sensitivity Ranges'!$F$46*F$15</f>
        <v>0</v>
      </c>
      <c r="G22" s="526">
        <f>Exploration!J43*'Selected Economics'!$J17*'Sensitivity Ranges'!$F$46*G$15</f>
        <v>0</v>
      </c>
      <c r="H22" s="526">
        <f>Exploration!K43*'Selected Economics'!$J17*'Sensitivity Ranges'!$F$46*H$15</f>
        <v>0</v>
      </c>
      <c r="I22" s="526">
        <f>Exploration!L43*'Selected Economics'!$J17*'Sensitivity Ranges'!$F$46*I$15</f>
        <v>0</v>
      </c>
      <c r="J22" s="526">
        <f>Exploration!M43*'Selected Economics'!$J17*'Sensitivity Ranges'!$F$46*J$15</f>
        <v>0</v>
      </c>
      <c r="K22" s="526">
        <f t="shared" si="8"/>
        <v>0</v>
      </c>
      <c r="L22" s="526">
        <f t="shared" si="1"/>
        <v>0</v>
      </c>
      <c r="M22" s="526">
        <f t="shared" si="9"/>
        <v>0</v>
      </c>
      <c r="N22" s="526">
        <f t="shared" si="2"/>
        <v>0</v>
      </c>
      <c r="O22" s="526">
        <f t="shared" si="10"/>
        <v>0</v>
      </c>
      <c r="P22" s="526">
        <f t="shared" si="3"/>
        <v>0</v>
      </c>
      <c r="Q22" s="527">
        <f t="shared" ca="1" si="4"/>
        <v>0.71635055540615489</v>
      </c>
      <c r="R22" s="526">
        <f t="shared" ca="1" si="5"/>
        <v>0</v>
      </c>
      <c r="S22" s="526">
        <f t="shared" ca="1" si="5"/>
        <v>0</v>
      </c>
      <c r="T22" s="526">
        <f t="shared" ca="1" si="5"/>
        <v>0</v>
      </c>
      <c r="U22" s="526">
        <f t="shared" ca="1" si="11"/>
        <v>0</v>
      </c>
      <c r="V22" s="526">
        <f t="shared" si="12"/>
        <v>0</v>
      </c>
      <c r="W22" s="526">
        <f t="shared" ca="1" si="13"/>
        <v>0</v>
      </c>
      <c r="X22" s="526">
        <f t="shared" ca="1" si="13"/>
        <v>0</v>
      </c>
      <c r="Y22" s="526">
        <f t="shared" ca="1" si="14"/>
        <v>0</v>
      </c>
      <c r="Z22" s="530">
        <f ca="1">'Risked Cash Flow'!AH16</f>
        <v>0.71635055540615489</v>
      </c>
      <c r="AA22" s="526">
        <f t="shared" ca="1" si="6"/>
        <v>0</v>
      </c>
      <c r="AB22" s="526">
        <f t="shared" ca="1" si="6"/>
        <v>0</v>
      </c>
      <c r="AC22" s="526">
        <f t="shared" ca="1" si="6"/>
        <v>0</v>
      </c>
      <c r="AD22" s="526">
        <f t="shared" ca="1" si="15"/>
        <v>0</v>
      </c>
      <c r="AE22" s="14"/>
      <c r="AF22" s="14"/>
      <c r="AG22" s="14"/>
      <c r="AH22" s="14"/>
      <c r="AI22" s="14"/>
      <c r="AJ22" s="9"/>
      <c r="AK22" s="9"/>
      <c r="AL22" s="9"/>
      <c r="AM22" s="9"/>
      <c r="AN22" s="9"/>
      <c r="AO22" s="9"/>
      <c r="AP22" s="9"/>
      <c r="AQ22" s="9"/>
      <c r="AR22" s="9"/>
      <c r="AS22" s="9"/>
      <c r="AT22" s="9"/>
      <c r="AU22" s="9"/>
      <c r="AV22" s="9"/>
      <c r="AW22" s="9"/>
      <c r="AX22" s="9"/>
      <c r="AY22" s="9"/>
      <c r="AZ22" s="9"/>
      <c r="BA22" s="9"/>
      <c r="BB22" s="9"/>
      <c r="BC22" s="9"/>
      <c r="BD22" s="9"/>
      <c r="BE22" s="9"/>
      <c r="BF22" s="9"/>
      <c r="BG22" s="9"/>
    </row>
    <row r="23" spans="1:59">
      <c r="A23" s="9"/>
      <c r="B23" s="318">
        <f>Exploration!B44</f>
        <v>2030</v>
      </c>
      <c r="C23" s="531">
        <f t="shared" si="7"/>
        <v>0</v>
      </c>
      <c r="D23" s="531">
        <f>Exploration!P44*D$15</f>
        <v>0</v>
      </c>
      <c r="E23" s="531">
        <f>E$15*Exploration!Q44</f>
        <v>0</v>
      </c>
      <c r="F23" s="531">
        <f>Exploration!I44*'Selected Economics'!$J18*'Sensitivity Ranges'!$F$46*F$15</f>
        <v>0</v>
      </c>
      <c r="G23" s="531">
        <f>Exploration!J44*'Selected Economics'!$J18*'Sensitivity Ranges'!$F$46*G$15</f>
        <v>0</v>
      </c>
      <c r="H23" s="531">
        <f>Exploration!K44*'Selected Economics'!$J18*'Sensitivity Ranges'!$F$46*H$15</f>
        <v>0</v>
      </c>
      <c r="I23" s="531">
        <f>Exploration!L44*'Selected Economics'!$J18*'Sensitivity Ranges'!$F$46*I$15</f>
        <v>0</v>
      </c>
      <c r="J23" s="531">
        <f>Exploration!M44*'Selected Economics'!$J18*'Sensitivity Ranges'!$F$46*J$15</f>
        <v>0</v>
      </c>
      <c r="K23" s="531">
        <f t="shared" si="8"/>
        <v>0</v>
      </c>
      <c r="L23" s="531">
        <f t="shared" si="1"/>
        <v>0</v>
      </c>
      <c r="M23" s="531">
        <f t="shared" si="9"/>
        <v>0</v>
      </c>
      <c r="N23" s="531">
        <f t="shared" si="2"/>
        <v>0</v>
      </c>
      <c r="O23" s="531">
        <f t="shared" si="10"/>
        <v>0</v>
      </c>
      <c r="P23" s="531">
        <f t="shared" si="3"/>
        <v>0</v>
      </c>
      <c r="Q23" s="532">
        <f t="shared" ca="1" si="4"/>
        <v>0.65122777764195883</v>
      </c>
      <c r="R23" s="531">
        <f t="shared" ca="1" si="5"/>
        <v>0</v>
      </c>
      <c r="S23" s="531">
        <f t="shared" ca="1" si="5"/>
        <v>0</v>
      </c>
      <c r="T23" s="531">
        <f t="shared" ca="1" si="5"/>
        <v>0</v>
      </c>
      <c r="U23" s="531">
        <f t="shared" ca="1" si="11"/>
        <v>0</v>
      </c>
      <c r="V23" s="531">
        <f t="shared" si="12"/>
        <v>0</v>
      </c>
      <c r="W23" s="531">
        <f t="shared" ca="1" si="13"/>
        <v>0</v>
      </c>
      <c r="X23" s="531">
        <f t="shared" ca="1" si="13"/>
        <v>0</v>
      </c>
      <c r="Y23" s="531">
        <f t="shared" ca="1" si="14"/>
        <v>0</v>
      </c>
      <c r="Z23" s="533">
        <f ca="1">'Risked Cash Flow'!AH17</f>
        <v>0.65122777764195883</v>
      </c>
      <c r="AA23" s="531">
        <f t="shared" ca="1" si="6"/>
        <v>0</v>
      </c>
      <c r="AB23" s="531">
        <f t="shared" ca="1" si="6"/>
        <v>0</v>
      </c>
      <c r="AC23" s="531">
        <f t="shared" ca="1" si="6"/>
        <v>0</v>
      </c>
      <c r="AD23" s="531">
        <f t="shared" ca="1" si="15"/>
        <v>0</v>
      </c>
      <c r="AE23" s="14"/>
      <c r="AF23" s="14"/>
      <c r="AG23" s="14"/>
      <c r="AH23" s="14"/>
      <c r="AI23" s="14"/>
      <c r="AJ23" s="9"/>
      <c r="AK23" s="9"/>
      <c r="AL23" s="9"/>
      <c r="AM23" s="9"/>
      <c r="AN23" s="9"/>
      <c r="AO23" s="9"/>
      <c r="AP23" s="9"/>
      <c r="AQ23" s="9"/>
      <c r="AR23" s="9"/>
      <c r="AS23" s="9"/>
      <c r="AT23" s="9"/>
      <c r="AU23" s="9"/>
      <c r="AV23" s="9"/>
      <c r="AW23" s="9"/>
      <c r="AX23" s="9"/>
      <c r="AY23" s="9"/>
      <c r="AZ23" s="9"/>
      <c r="BA23" s="9"/>
      <c r="BB23" s="9"/>
      <c r="BC23" s="9"/>
      <c r="BD23" s="9"/>
      <c r="BE23" s="9"/>
      <c r="BF23" s="9"/>
      <c r="BG23" s="9"/>
    </row>
    <row r="24" spans="1:59">
      <c r="A24" s="9"/>
      <c r="B24" s="416"/>
      <c r="C24" s="417"/>
      <c r="D24" s="417"/>
      <c r="E24" s="417"/>
      <c r="F24" s="417"/>
      <c r="G24" s="417"/>
      <c r="H24" s="417"/>
      <c r="I24" s="417"/>
      <c r="J24" s="417"/>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row>
    <row r="25" spans="1:59">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row>
    <row r="26" spans="1:59">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row>
    <row r="27" spans="1:59">
      <c r="A27" s="9"/>
      <c r="B27" s="9"/>
      <c r="C27" s="416"/>
      <c r="D27" s="9"/>
      <c r="E27" s="417"/>
      <c r="F27" s="417"/>
      <c r="G27" s="417"/>
      <c r="H27" s="417"/>
      <c r="I27" s="417"/>
      <c r="J27" s="417"/>
      <c r="K27" s="417"/>
      <c r="L27" s="417"/>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row>
    <row r="28" spans="1:59">
      <c r="A28" s="9"/>
      <c r="B28" s="9"/>
      <c r="C28" s="416"/>
      <c r="D28" s="417"/>
      <c r="E28" s="417"/>
      <c r="F28" s="417"/>
      <c r="G28" s="417"/>
      <c r="H28" s="417"/>
      <c r="I28" s="417"/>
      <c r="J28" s="417"/>
      <c r="K28" s="417"/>
      <c r="L28" s="417"/>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row>
    <row r="29" spans="1:59">
      <c r="A29" s="9"/>
      <c r="B29" s="9"/>
      <c r="C29" s="416"/>
      <c r="D29" s="417"/>
      <c r="E29" s="417"/>
      <c r="F29" s="417"/>
      <c r="G29" s="417"/>
      <c r="H29" s="417"/>
      <c r="I29" s="417"/>
      <c r="J29" s="417"/>
      <c r="K29" s="417"/>
      <c r="L29" s="417"/>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row>
    <row r="30" spans="1:59">
      <c r="A30" s="9"/>
      <c r="B30" s="9"/>
      <c r="C30" s="416"/>
      <c r="D30" s="417"/>
      <c r="E30" s="417"/>
      <c r="F30" s="417"/>
      <c r="G30" s="417"/>
      <c r="H30" s="417"/>
      <c r="I30" s="417"/>
      <c r="J30" s="417"/>
      <c r="K30" s="417"/>
      <c r="L30" s="417"/>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row>
    <row r="31" spans="1:59">
      <c r="A31" s="9"/>
      <c r="B31" s="9"/>
      <c r="C31" s="416"/>
      <c r="D31" s="417"/>
      <c r="E31" s="417"/>
      <c r="F31" s="417"/>
      <c r="G31" s="417"/>
      <c r="H31" s="417"/>
      <c r="I31" s="417"/>
      <c r="J31" s="417"/>
      <c r="K31" s="417"/>
      <c r="L31" s="417"/>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row>
    <row r="32" spans="1:59">
      <c r="A32" s="9"/>
      <c r="B32" s="9"/>
      <c r="C32" s="416"/>
      <c r="D32" s="417"/>
      <c r="E32" s="417"/>
      <c r="F32" s="417"/>
      <c r="G32" s="417"/>
      <c r="H32" s="417"/>
      <c r="I32" s="417"/>
      <c r="J32" s="417"/>
      <c r="K32" s="417"/>
      <c r="L32" s="417"/>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row>
    <row r="33" spans="1:59">
      <c r="A33" s="9"/>
      <c r="B33" s="9"/>
      <c r="C33" s="416"/>
      <c r="D33" s="417"/>
      <c r="E33" s="417"/>
      <c r="F33" s="417"/>
      <c r="G33" s="417"/>
      <c r="H33" s="417"/>
      <c r="I33" s="417"/>
      <c r="J33" s="417"/>
      <c r="K33" s="417"/>
      <c r="L33" s="417"/>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row>
    <row r="34" spans="1:59">
      <c r="A34" s="9"/>
      <c r="B34" s="9"/>
      <c r="C34" s="416"/>
      <c r="D34" s="417"/>
      <c r="E34" s="417"/>
      <c r="F34" s="417"/>
      <c r="G34" s="417"/>
      <c r="H34" s="417"/>
      <c r="I34" s="417"/>
      <c r="J34" s="417"/>
      <c r="K34" s="417"/>
      <c r="L34" s="417"/>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row>
    <row r="35" spans="1:59">
      <c r="A35" s="9"/>
      <c r="B35" s="9"/>
      <c r="C35" s="9"/>
      <c r="D35" s="9"/>
      <c r="E35" s="424"/>
      <c r="F35" s="424"/>
      <c r="G35" s="424"/>
      <c r="H35" s="424"/>
      <c r="I35" s="424"/>
      <c r="J35" s="424"/>
      <c r="K35" s="424"/>
      <c r="L35" s="424"/>
      <c r="M35" s="9"/>
      <c r="N35" s="9"/>
      <c r="O35" s="9"/>
      <c r="P35" s="9"/>
      <c r="Q35" s="9"/>
      <c r="R35" s="9"/>
      <c r="S35" s="9"/>
      <c r="T35" s="9"/>
      <c r="U35" s="9"/>
      <c r="V35" s="9"/>
      <c r="W35" s="33"/>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row>
    <row r="36" spans="1:59">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row>
    <row r="37" spans="1:59">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row>
    <row r="38" spans="1:59">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row>
    <row r="39" spans="1:59">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row>
    <row r="40" spans="1:59">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row>
    <row r="41" spans="1:59">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row>
    <row r="42" spans="1:59">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row>
    <row r="43" spans="1:59">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row>
    <row r="44" spans="1:59">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row>
    <row r="45" spans="1:59">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row>
    <row r="46" spans="1:59">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59">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row>
    <row r="48" spans="1:59">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row>
    <row r="49" spans="1:59">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row>
    <row r="50" spans="1:59">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row>
    <row r="51" spans="1:59">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row>
    <row r="52" spans="1:59">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row>
    <row r="53" spans="1:59">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row>
    <row r="54" spans="1:59">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row>
    <row r="55" spans="1:59">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row>
    <row r="56" spans="1:59">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row>
    <row r="57" spans="1:59">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row>
    <row r="58" spans="1:59">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row>
    <row r="59" spans="1:59">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row>
    <row r="60" spans="1:59">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row>
    <row r="61" spans="1:59">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row>
    <row r="62" spans="1:59">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row>
    <row r="63" spans="1:59">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row>
    <row r="64" spans="1:59">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row>
    <row r="65" spans="1:59">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row>
    <row r="66" spans="1:59">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row>
    <row r="67" spans="1:59">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row>
    <row r="68" spans="1:59">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row>
    <row r="69" spans="1:5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row>
  </sheetData>
  <sheetProtection algorithmName="SHA-512" hashValue="GGKTJScYDy4vXyvqBwlIiDtwaQEQ3JbLfjRBwSMmo7+plCtwNT3TM4ntdQ9v1xTuVxBy7FNqr+jYHArjj0C0aA==" saltValue="+lI8ebv8LL1yQ32s3Ec9Lg==" spinCount="100000" sheet="1" objects="1" scenarios="1"/>
  <mergeCells count="6">
    <mergeCell ref="C1:E1"/>
    <mergeCell ref="D12:K12"/>
    <mergeCell ref="Q12:U12"/>
    <mergeCell ref="V12:Y12"/>
    <mergeCell ref="Z12:AD12"/>
    <mergeCell ref="L12:P12"/>
  </mergeCells>
  <conditionalFormatting sqref="D6 D8:D9">
    <cfRule type="expression" dxfId="14" priority="1">
      <formula>$D$5="No"</formula>
    </cfRule>
  </conditionalFormatting>
  <dataValidations count="2">
    <dataValidation type="decimal" allowBlank="1" showInputMessage="1" showErrorMessage="1" prompt="If future stage, value must be zero_x000a_" sqref="E10" xr:uid="{DD348D99-2136-4EF3-BDAE-8652CF0568F5}">
      <formula1>J10</formula1>
      <formula2>K10</formula2>
    </dataValidation>
    <dataValidation type="list" allowBlank="1" showInputMessage="1" showErrorMessage="1" promptTitle="Deposit Recovery" prompt="Select whether to calculate deposit recovery and include in cash flow" sqref="D5" xr:uid="{756AE353-F001-42C3-B47F-D6A5BD467F13}">
      <formula1>YesNo</formula1>
    </dataValidation>
  </dataValidations>
  <hyperlinks>
    <hyperlink ref="A2" location="Guide" display="Guide" xr:uid="{2214C6F0-5A92-42D4-B28E-CDF2FCB02F67}"/>
    <hyperlink ref="A3" location="Input" display="Input" xr:uid="{7822E420-944C-4ABC-9F49-3BB2303FB57F}"/>
  </hyperlink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4A2EFB-B9F6-43C9-89D4-E2A765AEC41D}">
  <sheetPr codeName="Sheet37">
    <tabColor theme="9" tint="-0.249977111117893"/>
    <pageSetUpPr fitToPage="1"/>
  </sheetPr>
  <dimension ref="A1:AC152"/>
  <sheetViews>
    <sheetView showGridLines="0" showRowColHeaders="0" topLeftCell="B1" zoomScale="70" zoomScaleNormal="70" workbookViewId="0">
      <pane xSplit="2" ySplit="28" topLeftCell="D29" activePane="bottomRight" state="frozen"/>
      <selection activeCell="B1" sqref="B1"/>
      <selection pane="topRight" activeCell="D1" sqref="D1"/>
      <selection pane="bottomLeft" activeCell="B29" sqref="B29"/>
      <selection pane="bottomRight" activeCell="B1" sqref="B1"/>
    </sheetView>
  </sheetViews>
  <sheetFormatPr defaultRowHeight="15"/>
  <cols>
    <col min="2" max="2" width="28.42578125" customWidth="1"/>
    <col min="3" max="3" width="21.7109375" customWidth="1"/>
    <col min="4" max="4" width="19.28515625" customWidth="1"/>
    <col min="5" max="5" width="14" customWidth="1"/>
    <col min="6" max="6" width="13" customWidth="1"/>
    <col min="7" max="7" width="14.140625" customWidth="1"/>
    <col min="8" max="11" width="12.7109375" customWidth="1"/>
    <col min="12" max="12" width="14" customWidth="1"/>
    <col min="13" max="14" width="12.7109375" customWidth="1"/>
    <col min="15" max="15" width="15.42578125" customWidth="1"/>
    <col min="16" max="16" width="11" customWidth="1"/>
    <col min="17" max="17" width="14.85546875" customWidth="1"/>
    <col min="18" max="18" width="13.5703125" customWidth="1"/>
  </cols>
  <sheetData>
    <row r="1" spans="1:29" ht="18.75">
      <c r="A1" s="9"/>
      <c r="B1" s="312" t="str">
        <f>Input!B10</f>
        <v>Prospect X</v>
      </c>
      <c r="C1" s="2"/>
      <c r="D1" s="312" t="s">
        <v>136</v>
      </c>
      <c r="E1" s="2"/>
      <c r="F1" s="2"/>
      <c r="G1" s="9"/>
      <c r="H1" s="14"/>
      <c r="I1" s="14"/>
      <c r="J1" s="93" t="s">
        <v>756</v>
      </c>
      <c r="K1" s="395"/>
      <c r="L1" s="395"/>
      <c r="M1" s="9"/>
      <c r="N1" s="9"/>
      <c r="O1" s="9"/>
      <c r="P1" s="9"/>
      <c r="Q1" s="9"/>
      <c r="R1" s="9"/>
      <c r="S1" s="9"/>
      <c r="T1" s="9"/>
      <c r="U1" s="9"/>
      <c r="V1" s="9"/>
      <c r="W1" s="9"/>
      <c r="X1" s="9"/>
      <c r="Y1" s="9"/>
      <c r="Z1" s="9"/>
      <c r="AA1" s="9"/>
      <c r="AB1" s="9"/>
      <c r="AC1" s="9"/>
    </row>
    <row r="2" spans="1:29" ht="18.75">
      <c r="A2" s="3"/>
      <c r="B2" s="312"/>
      <c r="C2" s="2"/>
      <c r="D2" s="501" t="s">
        <v>970</v>
      </c>
      <c r="E2" s="20"/>
      <c r="F2" s="38"/>
      <c r="G2" s="38"/>
      <c r="H2" s="501">
        <f>'Selected Economics'!B5</f>
        <v>2023</v>
      </c>
      <c r="I2" s="14"/>
      <c r="J2" s="93" t="s">
        <v>139</v>
      </c>
      <c r="K2" s="395"/>
      <c r="L2" s="395"/>
      <c r="M2" s="9"/>
      <c r="N2" s="9"/>
      <c r="O2" s="9"/>
      <c r="P2" s="9"/>
      <c r="Q2" s="9"/>
      <c r="R2" s="9"/>
      <c r="S2" s="9"/>
      <c r="T2" s="9"/>
      <c r="U2" s="9"/>
      <c r="V2" s="9"/>
      <c r="W2" s="9"/>
      <c r="X2" s="9"/>
      <c r="Y2" s="9"/>
      <c r="Z2" s="9"/>
      <c r="AA2" s="9"/>
      <c r="AB2" s="9"/>
      <c r="AC2" s="9"/>
    </row>
    <row r="3" spans="1:29">
      <c r="A3" s="9"/>
      <c r="B3" s="14"/>
      <c r="C3" s="9"/>
      <c r="D3" s="9"/>
      <c r="E3" s="9"/>
      <c r="F3" s="9"/>
      <c r="G3" s="9"/>
      <c r="H3" s="9"/>
      <c r="I3" s="9"/>
      <c r="J3" s="9"/>
      <c r="K3" s="9"/>
      <c r="L3" s="9"/>
      <c r="M3" s="9"/>
      <c r="N3" s="9"/>
      <c r="O3" s="9"/>
      <c r="P3" s="9"/>
      <c r="Q3" s="9"/>
      <c r="R3" s="9"/>
      <c r="S3" s="9"/>
      <c r="T3" s="9"/>
      <c r="U3" s="9"/>
      <c r="V3" s="9"/>
      <c r="W3" s="9"/>
      <c r="X3" s="9"/>
      <c r="Y3" s="9"/>
      <c r="Z3" s="9"/>
      <c r="AA3" s="9"/>
      <c r="AB3" s="9"/>
      <c r="AC3" s="9"/>
    </row>
    <row r="4" spans="1:29">
      <c r="A4" s="9"/>
      <c r="B4" s="319" t="s">
        <v>88</v>
      </c>
      <c r="C4" s="9"/>
      <c r="D4" s="9"/>
      <c r="E4" s="9"/>
      <c r="F4" s="9"/>
      <c r="G4" s="20"/>
      <c r="H4" s="9"/>
      <c r="I4" s="9"/>
      <c r="J4" s="9"/>
      <c r="K4" s="9"/>
      <c r="L4" s="9"/>
      <c r="M4" s="9"/>
      <c r="N4" s="9"/>
      <c r="O4" s="9"/>
      <c r="P4" s="9"/>
      <c r="Q4" s="9"/>
      <c r="R4" s="9"/>
      <c r="S4" s="9"/>
      <c r="T4" s="9"/>
      <c r="U4" s="9"/>
      <c r="V4" s="9"/>
      <c r="W4" s="9"/>
      <c r="X4" s="9"/>
      <c r="Y4" s="9"/>
      <c r="Z4" s="9"/>
      <c r="AA4" s="9"/>
      <c r="AB4" s="9"/>
      <c r="AC4" s="9"/>
    </row>
    <row r="5" spans="1:29">
      <c r="A5" s="9"/>
      <c r="B5" s="14"/>
      <c r="C5" s="9"/>
      <c r="D5" s="9"/>
      <c r="E5" s="9"/>
      <c r="F5" s="9"/>
      <c r="G5" s="9"/>
      <c r="H5" s="9"/>
      <c r="I5" s="9"/>
      <c r="J5" s="9"/>
      <c r="K5" s="9"/>
      <c r="L5" s="9"/>
      <c r="M5" s="9"/>
      <c r="N5" s="9"/>
      <c r="O5" s="9"/>
      <c r="P5" s="9"/>
      <c r="Q5" s="9"/>
      <c r="R5" s="9"/>
      <c r="S5" s="9"/>
      <c r="T5" s="9"/>
      <c r="U5" s="9"/>
      <c r="V5" s="9"/>
      <c r="W5" s="9"/>
      <c r="X5" s="9"/>
      <c r="Y5" s="9"/>
      <c r="Z5" s="9"/>
      <c r="AA5" s="9"/>
      <c r="AB5" s="9"/>
      <c r="AC5" s="9"/>
    </row>
    <row r="6" spans="1:29">
      <c r="A6" s="9"/>
      <c r="B6" s="14" t="s">
        <v>966</v>
      </c>
      <c r="C6" s="7">
        <v>2023</v>
      </c>
      <c r="D6" s="14" t="s">
        <v>971</v>
      </c>
      <c r="E6" s="9"/>
      <c r="F6" s="9"/>
      <c r="G6" s="9"/>
      <c r="H6" s="517">
        <f>'Expl Overrides'!$G$3/VLOOKUP(C6,'Selected Economics'!$N$11:$P$84,2)</f>
        <v>1</v>
      </c>
      <c r="I6" s="9"/>
      <c r="J6" s="9"/>
      <c r="K6" s="9"/>
      <c r="L6" s="9"/>
      <c r="M6" s="9"/>
      <c r="N6" s="9"/>
      <c r="O6" s="9"/>
      <c r="P6" s="9"/>
      <c r="Q6" s="9"/>
      <c r="R6" s="9"/>
      <c r="S6" s="9"/>
      <c r="T6" s="9"/>
      <c r="U6" s="9"/>
      <c r="V6" s="9"/>
      <c r="W6" s="9"/>
      <c r="X6" s="9"/>
      <c r="Y6" s="9"/>
      <c r="Z6" s="9"/>
      <c r="AA6" s="9"/>
      <c r="AB6" s="9"/>
      <c r="AC6" s="9"/>
    </row>
    <row r="7" spans="1:29">
      <c r="A7" s="9"/>
      <c r="B7" s="9"/>
      <c r="C7" s="9"/>
      <c r="D7" s="9"/>
      <c r="E7" s="9"/>
      <c r="F7" s="9"/>
      <c r="G7" s="20"/>
      <c r="H7" s="9"/>
      <c r="I7" s="9"/>
      <c r="J7" s="9"/>
      <c r="K7" s="9"/>
      <c r="L7" s="9"/>
      <c r="M7" s="9"/>
      <c r="N7" s="9"/>
      <c r="O7" s="9"/>
      <c r="P7" s="9"/>
      <c r="Q7" s="9"/>
      <c r="R7" s="9"/>
      <c r="S7" s="9"/>
      <c r="T7" s="9"/>
      <c r="U7" s="9"/>
      <c r="V7" s="9"/>
      <c r="W7" s="9"/>
      <c r="X7" s="9"/>
      <c r="Y7" s="9"/>
      <c r="Z7" s="9"/>
      <c r="AA7" s="9"/>
      <c r="AB7" s="9"/>
      <c r="AC7" s="9"/>
    </row>
    <row r="8" spans="1:29" ht="14.65" customHeight="1">
      <c r="A8" s="9"/>
      <c r="B8" s="9"/>
      <c r="C8" s="9"/>
      <c r="D8" s="635" t="s">
        <v>990</v>
      </c>
      <c r="E8" s="512" t="s">
        <v>79</v>
      </c>
      <c r="F8" s="219" t="s">
        <v>139</v>
      </c>
      <c r="G8" s="219" t="s">
        <v>140</v>
      </c>
      <c r="H8" s="626" t="s">
        <v>967</v>
      </c>
      <c r="I8" s="9"/>
      <c r="J8" s="9"/>
      <c r="K8" s="9"/>
      <c r="L8" s="9"/>
      <c r="M8" s="9"/>
      <c r="N8" s="9"/>
      <c r="O8" s="9"/>
      <c r="P8" s="9"/>
      <c r="Q8" s="9"/>
      <c r="R8" s="9"/>
      <c r="S8" s="9"/>
      <c r="T8" s="9"/>
      <c r="U8" s="9"/>
      <c r="V8" s="9"/>
      <c r="W8" s="9"/>
      <c r="X8" s="9"/>
      <c r="Y8" s="9"/>
      <c r="Z8" s="9"/>
      <c r="AA8" s="9"/>
      <c r="AB8" s="9"/>
      <c r="AC8" s="9"/>
    </row>
    <row r="9" spans="1:29">
      <c r="A9" s="9"/>
      <c r="B9" s="9"/>
      <c r="C9" s="9"/>
      <c r="D9" s="636"/>
      <c r="E9" s="513"/>
      <c r="F9" s="514" t="s">
        <v>141</v>
      </c>
      <c r="G9" s="514" t="s">
        <v>42</v>
      </c>
      <c r="H9" s="627"/>
      <c r="I9" s="9"/>
      <c r="J9" s="9"/>
      <c r="K9" s="9"/>
      <c r="L9" s="9"/>
      <c r="M9" s="9"/>
      <c r="N9" s="9"/>
      <c r="O9" s="9"/>
      <c r="P9" s="9"/>
      <c r="Q9" s="9"/>
      <c r="R9" s="9"/>
      <c r="S9" s="9"/>
      <c r="T9" s="9"/>
      <c r="U9" s="9"/>
      <c r="V9" s="9"/>
      <c r="W9" s="9"/>
      <c r="X9" s="9"/>
      <c r="Y9" s="9"/>
      <c r="Z9" s="9"/>
      <c r="AA9" s="9"/>
      <c r="AB9" s="9"/>
      <c r="AC9" s="9"/>
    </row>
    <row r="10" spans="1:29">
      <c r="A10" s="9"/>
      <c r="B10" s="9"/>
      <c r="C10" s="9"/>
      <c r="D10" s="637"/>
      <c r="E10" s="515"/>
      <c r="F10" s="500" t="s">
        <v>142</v>
      </c>
      <c r="G10" s="500" t="str">
        <f>"(K$ "&amp;E6&amp;")"</f>
        <v>(K$ )</v>
      </c>
      <c r="H10" s="500" t="str">
        <f>"(K$ "&amp;$G$2&amp;")"</f>
        <v>(K$ )</v>
      </c>
      <c r="I10" s="9"/>
      <c r="J10" s="9"/>
      <c r="K10" s="9"/>
      <c r="L10" s="9"/>
      <c r="M10" s="9"/>
      <c r="N10" s="9"/>
      <c r="O10" s="9"/>
      <c r="P10" s="9"/>
      <c r="Q10" s="9"/>
      <c r="R10" s="9"/>
      <c r="S10" s="9"/>
      <c r="T10" s="9"/>
      <c r="U10" s="9"/>
      <c r="V10" s="9"/>
      <c r="W10" s="9"/>
      <c r="X10" s="9"/>
      <c r="Y10" s="9"/>
      <c r="Z10" s="9"/>
      <c r="AA10" s="9"/>
      <c r="AB10" s="9"/>
      <c r="AC10" s="9"/>
    </row>
    <row r="11" spans="1:29">
      <c r="A11" s="9"/>
      <c r="B11" s="220" t="s">
        <v>152</v>
      </c>
      <c r="C11" s="7" t="s">
        <v>138</v>
      </c>
      <c r="D11" s="25"/>
      <c r="E11" s="511">
        <f>D11+IF(stageno=4,Input!B12,Exploration!J29)</f>
        <v>46288.560000000012</v>
      </c>
      <c r="F11" s="25"/>
      <c r="G11" s="25"/>
      <c r="H11" s="409">
        <f>G11*H6</f>
        <v>0</v>
      </c>
      <c r="I11" s="9"/>
      <c r="J11" s="9"/>
      <c r="K11" s="9"/>
      <c r="L11" s="9"/>
      <c r="M11" s="9"/>
      <c r="N11" s="9"/>
      <c r="O11" s="220" t="s">
        <v>169</v>
      </c>
      <c r="P11" s="19"/>
      <c r="Q11" s="7" t="s">
        <v>138</v>
      </c>
      <c r="R11" s="9"/>
      <c r="S11" s="9"/>
      <c r="T11" s="9"/>
      <c r="U11" s="9"/>
      <c r="V11" s="9"/>
      <c r="W11" s="9"/>
      <c r="X11" s="9"/>
      <c r="Y11" s="9"/>
      <c r="Z11" s="9"/>
      <c r="AA11" s="9"/>
      <c r="AB11" s="9"/>
      <c r="AC11" s="9"/>
    </row>
    <row r="12" spans="1:29">
      <c r="A12" s="9"/>
      <c r="B12" s="14"/>
      <c r="C12" s="9"/>
      <c r="D12" s="9"/>
      <c r="E12" s="9"/>
      <c r="F12" s="9"/>
      <c r="G12" s="9"/>
      <c r="H12" s="9"/>
      <c r="I12" s="9"/>
      <c r="J12" s="9"/>
      <c r="K12" s="9"/>
      <c r="L12" s="9"/>
      <c r="M12" s="9"/>
      <c r="N12" s="9"/>
      <c r="O12" s="220" t="s">
        <v>996</v>
      </c>
      <c r="P12" s="19"/>
      <c r="Q12" s="7">
        <v>2023</v>
      </c>
      <c r="R12" s="9"/>
      <c r="S12" s="9"/>
      <c r="T12" s="9"/>
      <c r="U12" s="9"/>
      <c r="V12" s="9"/>
      <c r="W12" s="9"/>
      <c r="X12" s="9"/>
      <c r="Y12" s="9"/>
      <c r="Z12" s="9"/>
      <c r="AA12" s="9"/>
      <c r="AB12" s="9"/>
      <c r="AC12" s="9"/>
    </row>
    <row r="13" spans="1:29">
      <c r="A13" s="9"/>
      <c r="B13" s="319" t="s">
        <v>782</v>
      </c>
      <c r="C13" s="9"/>
      <c r="D13" s="9"/>
      <c r="E13" s="9"/>
      <c r="F13" s="9"/>
      <c r="G13" s="9"/>
      <c r="H13" s="9"/>
      <c r="I13" s="9"/>
      <c r="J13" s="9"/>
      <c r="K13" s="9"/>
      <c r="L13" s="9"/>
      <c r="M13" s="9"/>
      <c r="N13" s="9"/>
      <c r="O13" s="220" t="s">
        <v>971</v>
      </c>
      <c r="P13" s="19"/>
      <c r="Q13" s="516">
        <f>'Expl Overrides'!$G$3/VLOOKUP(Q12,'Selected Economics'!$N$11:$P$84,2)</f>
        <v>1</v>
      </c>
      <c r="R13" s="9"/>
      <c r="S13" s="9"/>
      <c r="T13" s="9"/>
      <c r="U13" s="9"/>
      <c r="V13" s="9"/>
      <c r="W13" s="9"/>
      <c r="X13" s="9"/>
      <c r="Y13" s="9"/>
      <c r="Z13" s="9"/>
      <c r="AA13" s="9"/>
      <c r="AB13" s="9"/>
      <c r="AC13" s="9"/>
    </row>
    <row r="14" spans="1:29" ht="16.149999999999999" customHeight="1">
      <c r="A14" s="9"/>
      <c r="B14" s="14"/>
      <c r="C14" s="9"/>
      <c r="D14" s="635" t="s">
        <v>992</v>
      </c>
      <c r="E14" s="219" t="s">
        <v>79</v>
      </c>
      <c r="F14" s="9"/>
      <c r="G14" s="9"/>
      <c r="H14" s="9"/>
      <c r="I14" s="9"/>
      <c r="J14" s="9"/>
      <c r="K14" s="9"/>
      <c r="L14" s="9"/>
      <c r="M14" s="9"/>
      <c r="N14" s="9"/>
      <c r="O14" s="220" t="s">
        <v>170</v>
      </c>
      <c r="P14" s="19"/>
      <c r="Q14" s="7"/>
      <c r="R14" s="9"/>
      <c r="S14" s="9"/>
      <c r="T14" s="9"/>
      <c r="U14" s="9"/>
      <c r="V14" s="9"/>
      <c r="W14" s="9"/>
      <c r="X14" s="9"/>
      <c r="Y14" s="9"/>
      <c r="Z14" s="9"/>
      <c r="AA14" s="9"/>
      <c r="AB14" s="9"/>
      <c r="AC14" s="9"/>
    </row>
    <row r="15" spans="1:29" ht="13.9" customHeight="1">
      <c r="A15" s="9"/>
      <c r="B15" s="14"/>
      <c r="C15" s="9"/>
      <c r="D15" s="636"/>
      <c r="E15" s="317"/>
      <c r="F15" s="9"/>
      <c r="G15" s="9"/>
      <c r="H15" s="9"/>
      <c r="I15" s="9"/>
      <c r="J15" s="9"/>
      <c r="K15" s="9"/>
      <c r="L15" s="9"/>
      <c r="M15" s="9"/>
      <c r="N15" s="9"/>
      <c r="O15" s="14"/>
      <c r="P15" s="9"/>
      <c r="Q15" s="9"/>
      <c r="R15" s="9"/>
      <c r="S15" s="9"/>
      <c r="T15" s="9"/>
      <c r="U15" s="9"/>
      <c r="V15" s="9"/>
      <c r="W15" s="9"/>
      <c r="X15" s="9"/>
      <c r="Y15" s="9"/>
      <c r="Z15" s="9"/>
      <c r="AA15" s="9"/>
      <c r="AB15" s="9"/>
      <c r="AC15" s="9"/>
    </row>
    <row r="16" spans="1:29" hidden="1">
      <c r="A16" s="9"/>
      <c r="B16" s="14"/>
      <c r="C16" s="9"/>
      <c r="D16" s="637"/>
      <c r="E16" s="318"/>
      <c r="F16" s="9"/>
      <c r="G16" s="20"/>
      <c r="H16" s="9"/>
      <c r="I16" s="9"/>
      <c r="J16" s="9"/>
      <c r="K16" s="9"/>
      <c r="L16" s="9"/>
      <c r="M16" s="9"/>
      <c r="N16" s="9"/>
      <c r="O16" s="14"/>
      <c r="P16" s="9"/>
      <c r="Q16" s="9"/>
      <c r="R16" s="9"/>
      <c r="S16" s="9"/>
      <c r="T16" s="9"/>
      <c r="U16" s="9"/>
      <c r="V16" s="9"/>
      <c r="W16" s="9"/>
      <c r="X16" s="9"/>
      <c r="Y16" s="9"/>
      <c r="Z16" s="9"/>
      <c r="AA16" s="9"/>
      <c r="AB16" s="9"/>
      <c r="AC16" s="9"/>
    </row>
    <row r="17" spans="1:29">
      <c r="A17" s="9"/>
      <c r="B17" s="220" t="s">
        <v>991</v>
      </c>
      <c r="C17" s="7" t="s">
        <v>138</v>
      </c>
      <c r="D17" s="25"/>
      <c r="E17" s="511">
        <f>E11+D17</f>
        <v>46288.560000000012</v>
      </c>
      <c r="F17" s="20"/>
      <c r="G17" s="20"/>
      <c r="H17" s="9"/>
      <c r="I17" s="9"/>
      <c r="J17" s="9"/>
      <c r="K17" s="9"/>
      <c r="L17" s="9"/>
      <c r="M17" s="9"/>
      <c r="N17" s="9"/>
      <c r="O17" s="396" t="s">
        <v>120</v>
      </c>
      <c r="P17" s="69"/>
      <c r="Q17" s="7" t="s">
        <v>138</v>
      </c>
      <c r="R17" s="9"/>
      <c r="S17" s="9"/>
      <c r="T17" s="9"/>
      <c r="U17" s="9"/>
      <c r="V17" s="9"/>
      <c r="W17" s="9"/>
      <c r="X17" s="9"/>
      <c r="Y17" s="9"/>
      <c r="Z17" s="9"/>
      <c r="AA17" s="9"/>
      <c r="AB17" s="9"/>
      <c r="AC17" s="9"/>
    </row>
    <row r="18" spans="1:29">
      <c r="A18" s="9"/>
      <c r="B18" s="14"/>
      <c r="C18" s="9"/>
      <c r="D18" s="9"/>
      <c r="E18" s="9"/>
      <c r="F18" s="9"/>
      <c r="G18" s="9"/>
      <c r="H18" s="9"/>
      <c r="I18" s="9"/>
      <c r="J18" s="9"/>
      <c r="K18" s="9"/>
      <c r="L18" s="9"/>
      <c r="M18" s="9"/>
      <c r="N18" s="9"/>
      <c r="O18" s="396" t="s">
        <v>966</v>
      </c>
      <c r="P18" s="69"/>
      <c r="Q18" s="7">
        <v>2023</v>
      </c>
      <c r="R18" s="9"/>
      <c r="S18" s="9"/>
      <c r="T18" s="9"/>
      <c r="U18" s="9"/>
      <c r="V18" s="9"/>
      <c r="W18" s="9"/>
      <c r="X18" s="9"/>
      <c r="Y18" s="9"/>
      <c r="Z18" s="9"/>
      <c r="AA18" s="9"/>
      <c r="AB18" s="9"/>
      <c r="AC18" s="9"/>
    </row>
    <row r="19" spans="1:29">
      <c r="A19" s="9"/>
      <c r="B19" s="14" t="s">
        <v>966</v>
      </c>
      <c r="C19" s="7">
        <v>2023</v>
      </c>
      <c r="D19" s="14" t="s">
        <v>971</v>
      </c>
      <c r="E19" s="9"/>
      <c r="F19" s="517">
        <f>'Expl Overrides'!$G$3/VLOOKUP(C19,'Selected Economics'!$N$11:$P$84,2)</f>
        <v>1</v>
      </c>
      <c r="G19" s="9"/>
      <c r="H19" s="20"/>
      <c r="I19" s="9"/>
      <c r="J19" s="9"/>
      <c r="K19" s="9"/>
      <c r="L19" s="9"/>
      <c r="M19" s="9"/>
      <c r="N19" s="9"/>
      <c r="O19" s="327" t="s">
        <v>993</v>
      </c>
      <c r="P19" s="410"/>
      <c r="Q19" s="516">
        <f>'Expl Overrides'!$G$3/VLOOKUP(Q18,'Selected Economics'!$N$11:$P$84,2)</f>
        <v>1</v>
      </c>
      <c r="R19" s="9"/>
      <c r="S19" s="9"/>
      <c r="T19" s="9"/>
      <c r="U19" s="9"/>
      <c r="V19" s="9"/>
      <c r="W19" s="9"/>
      <c r="X19" s="9"/>
      <c r="Y19" s="9"/>
      <c r="Z19" s="9"/>
      <c r="AA19" s="9"/>
      <c r="AB19" s="9"/>
      <c r="AC19" s="9"/>
    </row>
    <row r="20" spans="1:29">
      <c r="A20" s="9"/>
      <c r="B20" s="14"/>
      <c r="C20" s="9"/>
      <c r="D20" s="9"/>
      <c r="E20" s="9"/>
      <c r="F20" s="9"/>
      <c r="G20" s="20"/>
      <c r="H20" s="9"/>
      <c r="I20" s="9"/>
      <c r="J20" s="9"/>
      <c r="K20" s="9"/>
      <c r="L20" s="9"/>
      <c r="M20" s="9"/>
      <c r="N20" s="9"/>
      <c r="O20" s="9"/>
      <c r="P20" s="9"/>
      <c r="Q20" s="9"/>
      <c r="R20" s="9"/>
      <c r="S20" s="9"/>
      <c r="T20" s="9"/>
      <c r="U20" s="9"/>
      <c r="V20" s="9"/>
      <c r="W20" s="9"/>
      <c r="X20" s="9"/>
      <c r="Y20" s="9"/>
      <c r="Z20" s="9"/>
      <c r="AA20" s="9"/>
      <c r="AB20" s="9"/>
      <c r="AC20" s="9"/>
    </row>
    <row r="21" spans="1:29">
      <c r="A21" s="9"/>
      <c r="B21" s="26"/>
      <c r="C21" s="26"/>
      <c r="D21" s="9"/>
      <c r="E21" s="9"/>
      <c r="F21" s="9"/>
      <c r="G21" s="20"/>
      <c r="H21" s="9"/>
      <c r="I21" s="9"/>
      <c r="J21" s="9"/>
      <c r="K21" s="9"/>
      <c r="L21" s="9"/>
      <c r="M21" s="9"/>
      <c r="N21" s="9"/>
      <c r="O21" s="9"/>
      <c r="P21" s="9"/>
      <c r="Q21" s="9"/>
      <c r="R21" s="9"/>
      <c r="S21" s="9"/>
      <c r="T21" s="9"/>
      <c r="U21" s="9"/>
      <c r="V21" s="9"/>
      <c r="W21" s="9"/>
      <c r="X21" s="9"/>
      <c r="Y21" s="9"/>
      <c r="Z21" s="9"/>
      <c r="AA21" s="9"/>
      <c r="AB21" s="9"/>
      <c r="AC21" s="9"/>
    </row>
    <row r="22" spans="1:29">
      <c r="A22" s="9"/>
      <c r="B22" s="9"/>
      <c r="C22" s="9"/>
      <c r="D22" s="501" t="s">
        <v>154</v>
      </c>
      <c r="E22" s="501"/>
      <c r="F22" s="14"/>
      <c r="G22" s="14"/>
      <c r="H22" s="14"/>
      <c r="I22" s="14"/>
      <c r="J22" s="14"/>
      <c r="K22" s="14"/>
      <c r="L22" s="14"/>
      <c r="M22" s="14"/>
      <c r="N22" s="14"/>
      <c r="O22" s="14"/>
      <c r="P22" s="14"/>
      <c r="Q22" s="14"/>
      <c r="R22" s="9"/>
      <c r="S22" s="9"/>
      <c r="T22" s="9"/>
      <c r="U22" s="9"/>
      <c r="V22" s="9"/>
      <c r="W22" s="9"/>
      <c r="X22" s="9"/>
      <c r="Y22" s="9"/>
      <c r="Z22" s="9"/>
      <c r="AA22" s="9"/>
      <c r="AB22" s="9"/>
      <c r="AC22" s="9"/>
    </row>
    <row r="23" spans="1:29" ht="27" customHeight="1">
      <c r="A23" s="9"/>
      <c r="B23" s="9"/>
      <c r="C23" s="9"/>
      <c r="D23" s="14"/>
      <c r="E23" s="14"/>
      <c r="F23" s="14"/>
      <c r="G23" s="14"/>
      <c r="H23" s="14"/>
      <c r="I23" s="14"/>
      <c r="J23" s="14"/>
      <c r="K23" s="14"/>
      <c r="L23" s="14"/>
      <c r="M23" s="14"/>
      <c r="N23" s="14"/>
      <c r="O23" s="14"/>
      <c r="P23" s="14"/>
      <c r="Q23" s="14"/>
      <c r="R23" s="9"/>
      <c r="S23" s="9"/>
      <c r="T23" s="9"/>
      <c r="U23" s="9"/>
      <c r="V23" s="9"/>
      <c r="W23" s="9"/>
      <c r="X23" s="9"/>
      <c r="Y23" s="9"/>
      <c r="Z23" s="9"/>
      <c r="AA23" s="9"/>
      <c r="AB23" s="9"/>
      <c r="AC23" s="9"/>
    </row>
    <row r="24" spans="1:29" ht="30" customHeight="1">
      <c r="A24" s="9"/>
      <c r="B24" s="9"/>
      <c r="C24" s="9"/>
      <c r="D24" s="316"/>
      <c r="E24" s="316" t="s">
        <v>155</v>
      </c>
      <c r="F24" s="316" t="s">
        <v>156</v>
      </c>
      <c r="G24" s="316" t="s">
        <v>157</v>
      </c>
      <c r="H24" s="316" t="s">
        <v>158</v>
      </c>
      <c r="I24" s="316" t="s">
        <v>159</v>
      </c>
      <c r="J24" s="316" t="s">
        <v>846</v>
      </c>
      <c r="K24" s="626" t="s">
        <v>1034</v>
      </c>
      <c r="L24" s="316" t="s">
        <v>160</v>
      </c>
      <c r="M24" s="316" t="s">
        <v>13</v>
      </c>
      <c r="N24" s="219" t="s">
        <v>161</v>
      </c>
      <c r="O24" s="219" t="s">
        <v>635</v>
      </c>
      <c r="P24" s="219" t="s">
        <v>331</v>
      </c>
      <c r="Q24" s="219" t="s">
        <v>18</v>
      </c>
      <c r="R24" s="9"/>
      <c r="S24" s="9"/>
      <c r="T24" s="9"/>
      <c r="U24" s="9"/>
      <c r="V24" s="9"/>
      <c r="W24" s="9"/>
      <c r="X24" s="9"/>
      <c r="Y24" s="9"/>
      <c r="Z24" s="9"/>
      <c r="AA24" s="9"/>
      <c r="AB24" s="9"/>
      <c r="AC24" s="9"/>
    </row>
    <row r="25" spans="1:29">
      <c r="A25" s="9"/>
      <c r="B25" s="9"/>
      <c r="C25" s="9"/>
      <c r="D25" s="317" t="s">
        <v>162</v>
      </c>
      <c r="E25" s="317" t="s">
        <v>163</v>
      </c>
      <c r="F25" s="317"/>
      <c r="G25" s="317" t="s">
        <v>164</v>
      </c>
      <c r="H25" s="317" t="s">
        <v>165</v>
      </c>
      <c r="I25" s="317" t="s">
        <v>166</v>
      </c>
      <c r="J25" s="317" t="s">
        <v>847</v>
      </c>
      <c r="K25" s="628"/>
      <c r="L25" s="317"/>
      <c r="M25" s="317" t="s">
        <v>41</v>
      </c>
      <c r="N25" s="500" t="s">
        <v>167</v>
      </c>
      <c r="O25" s="500" t="s">
        <v>637</v>
      </c>
      <c r="P25" s="500" t="s">
        <v>637</v>
      </c>
      <c r="Q25" s="500" t="s">
        <v>42</v>
      </c>
      <c r="R25" s="9"/>
      <c r="S25" s="9"/>
      <c r="T25" s="9"/>
      <c r="U25" s="9"/>
      <c r="V25" s="9"/>
      <c r="W25" s="9"/>
      <c r="X25" s="9"/>
      <c r="Y25" s="9"/>
      <c r="Z25" s="9"/>
      <c r="AA25" s="9"/>
      <c r="AB25" s="9"/>
      <c r="AC25" s="9"/>
    </row>
    <row r="26" spans="1:29">
      <c r="A26" s="9"/>
      <c r="B26" s="21"/>
      <c r="C26" s="21"/>
      <c r="D26" s="21"/>
      <c r="E26" s="21"/>
      <c r="F26" s="21"/>
      <c r="G26" s="21"/>
      <c r="H26" s="21"/>
      <c r="I26" s="21"/>
      <c r="J26" s="21"/>
      <c r="K26" s="21"/>
      <c r="L26" s="21"/>
      <c r="M26" s="21"/>
      <c r="N26" s="21"/>
      <c r="O26" s="21"/>
      <c r="P26" s="21"/>
      <c r="Q26" s="21"/>
      <c r="R26" s="9"/>
      <c r="S26" s="9"/>
      <c r="T26" s="9"/>
      <c r="U26" s="9"/>
      <c r="V26" s="9"/>
      <c r="W26" s="9"/>
      <c r="X26" s="9"/>
      <c r="Y26" s="9"/>
      <c r="Z26" s="9"/>
      <c r="AA26" s="9"/>
      <c r="AB26" s="9"/>
      <c r="AC26" s="9"/>
    </row>
    <row r="27" spans="1:29">
      <c r="A27" s="9"/>
      <c r="B27" s="317" t="s">
        <v>13</v>
      </c>
      <c r="C27" s="317" t="s">
        <v>983</v>
      </c>
      <c r="D27" s="27">
        <f t="shared" ref="D27:Q27" si="0">SUM(D29:D38)</f>
        <v>0</v>
      </c>
      <c r="E27" s="27">
        <f t="shared" si="0"/>
        <v>0</v>
      </c>
      <c r="F27" s="27">
        <f t="shared" si="0"/>
        <v>0</v>
      </c>
      <c r="G27" s="27">
        <f t="shared" si="0"/>
        <v>0</v>
      </c>
      <c r="H27" s="27">
        <f t="shared" si="0"/>
        <v>0</v>
      </c>
      <c r="I27" s="27">
        <f t="shared" si="0"/>
        <v>0</v>
      </c>
      <c r="J27" s="27">
        <f t="shared" si="0"/>
        <v>0</v>
      </c>
      <c r="K27" s="27">
        <f t="shared" si="0"/>
        <v>0</v>
      </c>
      <c r="L27" s="27">
        <f t="shared" si="0"/>
        <v>0</v>
      </c>
      <c r="M27" s="27">
        <f t="shared" si="0"/>
        <v>0</v>
      </c>
      <c r="N27" s="27">
        <f t="shared" si="0"/>
        <v>0</v>
      </c>
      <c r="O27" s="27">
        <f t="shared" si="0"/>
        <v>0</v>
      </c>
      <c r="P27" s="27">
        <f t="shared" si="0"/>
        <v>0</v>
      </c>
      <c r="Q27" s="27">
        <f t="shared" si="0"/>
        <v>0</v>
      </c>
      <c r="R27" s="9"/>
      <c r="S27" s="9"/>
      <c r="T27" s="9"/>
      <c r="U27" s="9"/>
      <c r="V27" s="9"/>
      <c r="W27" s="9"/>
      <c r="X27" s="9"/>
      <c r="Y27" s="9"/>
      <c r="Z27" s="9"/>
      <c r="AA27" s="9"/>
      <c r="AB27" s="9"/>
      <c r="AC27" s="9"/>
    </row>
    <row r="28" spans="1:29">
      <c r="A28" s="9"/>
      <c r="B28" s="220" t="s">
        <v>168</v>
      </c>
      <c r="C28" s="220"/>
      <c r="D28" s="19"/>
      <c r="E28" s="19"/>
      <c r="F28" s="19"/>
      <c r="G28" s="19"/>
      <c r="H28" s="19"/>
      <c r="I28" s="19"/>
      <c r="J28" s="19"/>
      <c r="K28" s="19"/>
      <c r="L28" s="19"/>
      <c r="M28" s="19"/>
      <c r="N28" s="19"/>
      <c r="O28" s="19"/>
      <c r="P28" s="19"/>
      <c r="Q28" s="19"/>
      <c r="R28" s="9"/>
      <c r="S28" s="9"/>
      <c r="T28" s="9"/>
      <c r="U28" s="9"/>
      <c r="V28" s="9"/>
      <c r="W28" s="9"/>
      <c r="X28" s="9"/>
      <c r="Y28" s="9"/>
      <c r="Z28" s="9"/>
      <c r="AA28" s="9"/>
      <c r="AB28" s="9"/>
      <c r="AC28" s="9"/>
    </row>
    <row r="29" spans="1:29">
      <c r="A29" s="9"/>
      <c r="B29" s="220">
        <v>1</v>
      </c>
      <c r="C29" s="511">
        <f>E17</f>
        <v>46288.560000000012</v>
      </c>
      <c r="D29" s="40"/>
      <c r="E29" s="40"/>
      <c r="F29" s="40"/>
      <c r="G29" s="40"/>
      <c r="H29" s="40"/>
      <c r="I29" s="40"/>
      <c r="J29" s="40"/>
      <c r="K29" s="40"/>
      <c r="L29" s="40"/>
      <c r="M29" s="28">
        <f>SUM(D29:L29)</f>
        <v>0</v>
      </c>
      <c r="N29" s="40"/>
      <c r="O29" s="40"/>
      <c r="P29" s="40"/>
      <c r="Q29" s="40"/>
      <c r="R29" s="9"/>
      <c r="S29" s="9"/>
      <c r="T29" s="9"/>
      <c r="U29" s="9"/>
      <c r="V29" s="9"/>
      <c r="W29" s="9"/>
      <c r="X29" s="9"/>
      <c r="Y29" s="9"/>
      <c r="Z29" s="9"/>
      <c r="AA29" s="9"/>
      <c r="AB29" s="9"/>
      <c r="AC29" s="9"/>
    </row>
    <row r="30" spans="1:29">
      <c r="A30" s="9"/>
      <c r="B30" s="220">
        <f t="shared" ref="B30:B68" si="1">B29+1</f>
        <v>2</v>
      </c>
      <c r="C30" s="511">
        <f>EDATE(C29,12)</f>
        <v>46653</v>
      </c>
      <c r="D30" s="40"/>
      <c r="E30" s="40"/>
      <c r="F30" s="40"/>
      <c r="G30" s="40"/>
      <c r="H30" s="40"/>
      <c r="I30" s="40"/>
      <c r="J30" s="40"/>
      <c r="K30" s="40"/>
      <c r="L30" s="40"/>
      <c r="M30" s="28">
        <f t="shared" ref="M30:M68" si="2">SUM(D30:L30)</f>
        <v>0</v>
      </c>
      <c r="N30" s="40"/>
      <c r="O30" s="40"/>
      <c r="P30" s="40"/>
      <c r="Q30" s="40"/>
      <c r="R30" s="9"/>
      <c r="S30" s="9"/>
      <c r="T30" s="9"/>
      <c r="U30" s="9"/>
      <c r="V30" s="9"/>
      <c r="W30" s="9"/>
      <c r="X30" s="9"/>
      <c r="Y30" s="9"/>
      <c r="Z30" s="9"/>
      <c r="AA30" s="9"/>
      <c r="AB30" s="9"/>
      <c r="AC30" s="9"/>
    </row>
    <row r="31" spans="1:29">
      <c r="A31" s="9"/>
      <c r="B31" s="220">
        <f t="shared" si="1"/>
        <v>3</v>
      </c>
      <c r="C31" s="511">
        <f t="shared" ref="C31:C68" si="3">EDATE(C30,12)</f>
        <v>47019</v>
      </c>
      <c r="D31" s="40"/>
      <c r="E31" s="40"/>
      <c r="F31" s="40"/>
      <c r="G31" s="40"/>
      <c r="H31" s="40"/>
      <c r="I31" s="40"/>
      <c r="J31" s="40"/>
      <c r="K31" s="40"/>
      <c r="L31" s="40"/>
      <c r="M31" s="28">
        <f t="shared" si="2"/>
        <v>0</v>
      </c>
      <c r="N31" s="40"/>
      <c r="O31" s="40"/>
      <c r="P31" s="40"/>
      <c r="Q31" s="40"/>
      <c r="R31" s="9"/>
      <c r="S31" s="9"/>
      <c r="T31" s="9"/>
      <c r="U31" s="9"/>
      <c r="V31" s="9"/>
      <c r="W31" s="9"/>
      <c r="X31" s="9"/>
      <c r="Y31" s="9"/>
      <c r="Z31" s="9"/>
      <c r="AA31" s="9"/>
      <c r="AB31" s="9"/>
      <c r="AC31" s="9"/>
    </row>
    <row r="32" spans="1:29">
      <c r="A32" s="9"/>
      <c r="B32" s="220">
        <f t="shared" si="1"/>
        <v>4</v>
      </c>
      <c r="C32" s="511">
        <f t="shared" si="3"/>
        <v>47384</v>
      </c>
      <c r="D32" s="40"/>
      <c r="E32" s="40"/>
      <c r="F32" s="40"/>
      <c r="G32" s="40"/>
      <c r="H32" s="40"/>
      <c r="I32" s="40"/>
      <c r="J32" s="40"/>
      <c r="K32" s="40"/>
      <c r="L32" s="40"/>
      <c r="M32" s="28">
        <f t="shared" si="2"/>
        <v>0</v>
      </c>
      <c r="N32" s="40"/>
      <c r="O32" s="40"/>
      <c r="P32" s="40"/>
      <c r="Q32" s="40"/>
      <c r="R32" s="9"/>
      <c r="S32" s="9"/>
      <c r="T32" s="9"/>
      <c r="U32" s="9"/>
      <c r="V32" s="9"/>
      <c r="W32" s="9"/>
      <c r="X32" s="9"/>
      <c r="Y32" s="9"/>
      <c r="Z32" s="9"/>
      <c r="AA32" s="9"/>
      <c r="AB32" s="9"/>
      <c r="AC32" s="9"/>
    </row>
    <row r="33" spans="1:29">
      <c r="A33" s="9"/>
      <c r="B33" s="220">
        <f t="shared" si="1"/>
        <v>5</v>
      </c>
      <c r="C33" s="511">
        <f t="shared" si="3"/>
        <v>47749</v>
      </c>
      <c r="D33" s="40"/>
      <c r="E33" s="40"/>
      <c r="F33" s="40"/>
      <c r="G33" s="40"/>
      <c r="H33" s="40"/>
      <c r="I33" s="40"/>
      <c r="J33" s="40"/>
      <c r="K33" s="40"/>
      <c r="L33" s="40"/>
      <c r="M33" s="28">
        <f t="shared" si="2"/>
        <v>0</v>
      </c>
      <c r="N33" s="40"/>
      <c r="O33" s="40"/>
      <c r="P33" s="40"/>
      <c r="Q33" s="40"/>
      <c r="R33" s="9"/>
      <c r="S33" s="9"/>
      <c r="T33" s="9"/>
      <c r="U33" s="9"/>
      <c r="V33" s="9"/>
      <c r="W33" s="9"/>
      <c r="X33" s="9"/>
      <c r="Y33" s="9"/>
      <c r="Z33" s="9"/>
      <c r="AA33" s="9"/>
      <c r="AB33" s="9"/>
      <c r="AC33" s="9"/>
    </row>
    <row r="34" spans="1:29">
      <c r="A34" s="9"/>
      <c r="B34" s="220">
        <f t="shared" si="1"/>
        <v>6</v>
      </c>
      <c r="C34" s="511">
        <f t="shared" si="3"/>
        <v>48114</v>
      </c>
      <c r="D34" s="40"/>
      <c r="E34" s="40"/>
      <c r="F34" s="40"/>
      <c r="G34" s="40"/>
      <c r="H34" s="40"/>
      <c r="I34" s="40"/>
      <c r="J34" s="40"/>
      <c r="K34" s="40"/>
      <c r="L34" s="40"/>
      <c r="M34" s="28">
        <f t="shared" si="2"/>
        <v>0</v>
      </c>
      <c r="N34" s="40"/>
      <c r="O34" s="40"/>
      <c r="P34" s="40"/>
      <c r="Q34" s="40"/>
      <c r="R34" s="9"/>
      <c r="S34" s="9"/>
      <c r="T34" s="9"/>
      <c r="U34" s="9"/>
      <c r="V34" s="9"/>
      <c r="W34" s="9"/>
      <c r="X34" s="9"/>
      <c r="Y34" s="9"/>
      <c r="Z34" s="9"/>
      <c r="AA34" s="9"/>
      <c r="AB34" s="9"/>
      <c r="AC34" s="9"/>
    </row>
    <row r="35" spans="1:29">
      <c r="A35" s="9"/>
      <c r="B35" s="220">
        <f t="shared" si="1"/>
        <v>7</v>
      </c>
      <c r="C35" s="511">
        <f t="shared" si="3"/>
        <v>48480</v>
      </c>
      <c r="D35" s="40"/>
      <c r="E35" s="40"/>
      <c r="F35" s="40"/>
      <c r="G35" s="40"/>
      <c r="H35" s="40"/>
      <c r="I35" s="40"/>
      <c r="J35" s="40"/>
      <c r="K35" s="40"/>
      <c r="L35" s="40"/>
      <c r="M35" s="28">
        <f t="shared" si="2"/>
        <v>0</v>
      </c>
      <c r="N35" s="40"/>
      <c r="O35" s="40"/>
      <c r="P35" s="40"/>
      <c r="Q35" s="40"/>
      <c r="R35" s="9"/>
      <c r="S35" s="9"/>
      <c r="T35" s="9"/>
      <c r="U35" s="9"/>
      <c r="V35" s="9"/>
      <c r="W35" s="9"/>
      <c r="X35" s="9"/>
      <c r="Y35" s="9"/>
      <c r="Z35" s="9"/>
      <c r="AA35" s="9"/>
      <c r="AB35" s="9"/>
      <c r="AC35" s="9"/>
    </row>
    <row r="36" spans="1:29">
      <c r="A36" s="9"/>
      <c r="B36" s="220">
        <f t="shared" si="1"/>
        <v>8</v>
      </c>
      <c r="C36" s="511">
        <f t="shared" si="3"/>
        <v>48845</v>
      </c>
      <c r="D36" s="40"/>
      <c r="E36" s="40"/>
      <c r="F36" s="40"/>
      <c r="G36" s="40"/>
      <c r="H36" s="40"/>
      <c r="I36" s="40"/>
      <c r="J36" s="40"/>
      <c r="K36" s="40"/>
      <c r="L36" s="40"/>
      <c r="M36" s="28">
        <f t="shared" si="2"/>
        <v>0</v>
      </c>
      <c r="N36" s="40"/>
      <c r="O36" s="40"/>
      <c r="P36" s="40"/>
      <c r="Q36" s="40"/>
      <c r="R36" s="9"/>
      <c r="S36" s="9"/>
      <c r="T36" s="9"/>
      <c r="U36" s="9"/>
      <c r="V36" s="9"/>
      <c r="W36" s="9"/>
      <c r="X36" s="9"/>
      <c r="Y36" s="9"/>
      <c r="Z36" s="9"/>
      <c r="AA36" s="9"/>
      <c r="AB36" s="9"/>
      <c r="AC36" s="9"/>
    </row>
    <row r="37" spans="1:29">
      <c r="A37" s="9"/>
      <c r="B37" s="220">
        <f t="shared" si="1"/>
        <v>9</v>
      </c>
      <c r="C37" s="511">
        <f t="shared" si="3"/>
        <v>49210</v>
      </c>
      <c r="D37" s="40"/>
      <c r="E37" s="40"/>
      <c r="F37" s="40"/>
      <c r="G37" s="40"/>
      <c r="H37" s="40"/>
      <c r="I37" s="40"/>
      <c r="J37" s="40"/>
      <c r="K37" s="40"/>
      <c r="L37" s="40"/>
      <c r="M37" s="28">
        <f t="shared" si="2"/>
        <v>0</v>
      </c>
      <c r="N37" s="40"/>
      <c r="O37" s="40"/>
      <c r="P37" s="40"/>
      <c r="Q37" s="40"/>
      <c r="R37" s="9"/>
      <c r="S37" s="9"/>
      <c r="T37" s="9"/>
      <c r="U37" s="9"/>
      <c r="V37" s="9"/>
      <c r="W37" s="9"/>
      <c r="X37" s="9"/>
      <c r="Y37" s="9"/>
      <c r="Z37" s="9"/>
      <c r="AA37" s="9"/>
      <c r="AB37" s="9"/>
      <c r="AC37" s="9"/>
    </row>
    <row r="38" spans="1:29">
      <c r="A38" s="9"/>
      <c r="B38" s="220">
        <f t="shared" si="1"/>
        <v>10</v>
      </c>
      <c r="C38" s="511">
        <f t="shared" si="3"/>
        <v>49575</v>
      </c>
      <c r="D38" s="40"/>
      <c r="E38" s="40"/>
      <c r="F38" s="40"/>
      <c r="G38" s="40"/>
      <c r="H38" s="40"/>
      <c r="I38" s="40"/>
      <c r="J38" s="40"/>
      <c r="K38" s="40"/>
      <c r="L38" s="40"/>
      <c r="M38" s="28">
        <f t="shared" si="2"/>
        <v>0</v>
      </c>
      <c r="N38" s="40"/>
      <c r="O38" s="40"/>
      <c r="P38" s="40"/>
      <c r="Q38" s="40"/>
      <c r="R38" s="9"/>
      <c r="S38" s="9"/>
      <c r="T38" s="9"/>
      <c r="U38" s="9"/>
      <c r="V38" s="9"/>
      <c r="W38" s="9"/>
      <c r="X38" s="9"/>
      <c r="Y38" s="9"/>
      <c r="Z38" s="9"/>
      <c r="AA38" s="9"/>
      <c r="AB38" s="9"/>
      <c r="AC38" s="9"/>
    </row>
    <row r="39" spans="1:29">
      <c r="A39" s="9"/>
      <c r="B39" s="220">
        <f t="shared" si="1"/>
        <v>11</v>
      </c>
      <c r="C39" s="511">
        <f t="shared" si="3"/>
        <v>49941</v>
      </c>
      <c r="D39" s="40"/>
      <c r="E39" s="40"/>
      <c r="F39" s="40"/>
      <c r="G39" s="40"/>
      <c r="H39" s="40"/>
      <c r="I39" s="40"/>
      <c r="J39" s="40"/>
      <c r="K39" s="40"/>
      <c r="L39" s="40"/>
      <c r="M39" s="28">
        <f t="shared" si="2"/>
        <v>0</v>
      </c>
      <c r="N39" s="40"/>
      <c r="O39" s="40"/>
      <c r="P39" s="40"/>
      <c r="Q39" s="40"/>
      <c r="R39" s="9"/>
      <c r="S39" s="9"/>
      <c r="T39" s="9"/>
      <c r="U39" s="9"/>
      <c r="V39" s="9"/>
      <c r="W39" s="9"/>
      <c r="X39" s="9"/>
      <c r="Y39" s="9"/>
      <c r="Z39" s="9"/>
      <c r="AA39" s="9"/>
      <c r="AB39" s="9"/>
      <c r="AC39" s="9"/>
    </row>
    <row r="40" spans="1:29">
      <c r="A40" s="9"/>
      <c r="B40" s="220">
        <f t="shared" si="1"/>
        <v>12</v>
      </c>
      <c r="C40" s="511">
        <f t="shared" si="3"/>
        <v>50306</v>
      </c>
      <c r="D40" s="40"/>
      <c r="E40" s="40"/>
      <c r="F40" s="40"/>
      <c r="G40" s="40"/>
      <c r="H40" s="40"/>
      <c r="I40" s="40"/>
      <c r="J40" s="40"/>
      <c r="K40" s="40"/>
      <c r="L40" s="40"/>
      <c r="M40" s="28">
        <f t="shared" si="2"/>
        <v>0</v>
      </c>
      <c r="N40" s="40"/>
      <c r="O40" s="40"/>
      <c r="P40" s="40"/>
      <c r="Q40" s="40"/>
      <c r="R40" s="9"/>
      <c r="S40" s="9"/>
      <c r="T40" s="9"/>
      <c r="U40" s="9"/>
      <c r="V40" s="9"/>
      <c r="W40" s="9"/>
      <c r="X40" s="9"/>
      <c r="Y40" s="9"/>
      <c r="Z40" s="9"/>
      <c r="AA40" s="9"/>
      <c r="AB40" s="9"/>
      <c r="AC40" s="9"/>
    </row>
    <row r="41" spans="1:29">
      <c r="A41" s="9"/>
      <c r="B41" s="220">
        <f t="shared" si="1"/>
        <v>13</v>
      </c>
      <c r="C41" s="511">
        <f t="shared" si="3"/>
        <v>50671</v>
      </c>
      <c r="D41" s="40"/>
      <c r="E41" s="40"/>
      <c r="F41" s="40"/>
      <c r="G41" s="40"/>
      <c r="H41" s="40"/>
      <c r="I41" s="40"/>
      <c r="J41" s="40"/>
      <c r="K41" s="40"/>
      <c r="L41" s="40"/>
      <c r="M41" s="28">
        <f t="shared" si="2"/>
        <v>0</v>
      </c>
      <c r="N41" s="40"/>
      <c r="O41" s="40"/>
      <c r="P41" s="40"/>
      <c r="Q41" s="40"/>
      <c r="R41" s="9"/>
      <c r="S41" s="9"/>
      <c r="T41" s="9"/>
      <c r="U41" s="9"/>
      <c r="V41" s="9"/>
      <c r="W41" s="9"/>
      <c r="X41" s="9"/>
      <c r="Y41" s="9"/>
      <c r="Z41" s="9"/>
      <c r="AA41" s="9"/>
      <c r="AB41" s="9"/>
      <c r="AC41" s="9"/>
    </row>
    <row r="42" spans="1:29">
      <c r="A42" s="9"/>
      <c r="B42" s="220">
        <f t="shared" si="1"/>
        <v>14</v>
      </c>
      <c r="C42" s="511">
        <f t="shared" si="3"/>
        <v>51036</v>
      </c>
      <c r="D42" s="40"/>
      <c r="E42" s="40"/>
      <c r="F42" s="40"/>
      <c r="G42" s="40"/>
      <c r="H42" s="40"/>
      <c r="I42" s="40"/>
      <c r="J42" s="40"/>
      <c r="K42" s="40"/>
      <c r="L42" s="40"/>
      <c r="M42" s="28">
        <f t="shared" si="2"/>
        <v>0</v>
      </c>
      <c r="N42" s="40"/>
      <c r="O42" s="40"/>
      <c r="P42" s="40"/>
      <c r="Q42" s="40"/>
      <c r="R42" s="9"/>
      <c r="S42" s="9"/>
      <c r="T42" s="9"/>
      <c r="U42" s="9"/>
      <c r="V42" s="9"/>
      <c r="W42" s="9"/>
      <c r="X42" s="9"/>
      <c r="Y42" s="9"/>
      <c r="Z42" s="9"/>
      <c r="AA42" s="9"/>
      <c r="AB42" s="9"/>
      <c r="AC42" s="9"/>
    </row>
    <row r="43" spans="1:29">
      <c r="A43" s="9"/>
      <c r="B43" s="220">
        <f t="shared" si="1"/>
        <v>15</v>
      </c>
      <c r="C43" s="511">
        <f t="shared" si="3"/>
        <v>51402</v>
      </c>
      <c r="D43" s="40"/>
      <c r="E43" s="40"/>
      <c r="F43" s="40"/>
      <c r="G43" s="40"/>
      <c r="H43" s="40"/>
      <c r="I43" s="40"/>
      <c r="J43" s="40"/>
      <c r="K43" s="40"/>
      <c r="L43" s="40"/>
      <c r="M43" s="28">
        <f t="shared" si="2"/>
        <v>0</v>
      </c>
      <c r="N43" s="40"/>
      <c r="O43" s="40"/>
      <c r="P43" s="40"/>
      <c r="Q43" s="40"/>
      <c r="R43" s="9"/>
      <c r="S43" s="9"/>
      <c r="T43" s="9"/>
      <c r="U43" s="9"/>
      <c r="V43" s="9"/>
      <c r="W43" s="9"/>
      <c r="X43" s="9"/>
      <c r="Y43" s="9"/>
      <c r="Z43" s="9"/>
      <c r="AA43" s="9"/>
      <c r="AB43" s="9"/>
      <c r="AC43" s="9"/>
    </row>
    <row r="44" spans="1:29">
      <c r="A44" s="9"/>
      <c r="B44" s="220">
        <f t="shared" si="1"/>
        <v>16</v>
      </c>
      <c r="C44" s="511">
        <f t="shared" si="3"/>
        <v>51767</v>
      </c>
      <c r="D44" s="40"/>
      <c r="E44" s="40"/>
      <c r="F44" s="40"/>
      <c r="G44" s="40"/>
      <c r="H44" s="40"/>
      <c r="I44" s="40"/>
      <c r="J44" s="40"/>
      <c r="K44" s="40"/>
      <c r="L44" s="40"/>
      <c r="M44" s="28">
        <f t="shared" si="2"/>
        <v>0</v>
      </c>
      <c r="N44" s="40"/>
      <c r="O44" s="40"/>
      <c r="P44" s="40"/>
      <c r="Q44" s="40"/>
      <c r="R44" s="9"/>
      <c r="S44" s="9"/>
      <c r="T44" s="9"/>
      <c r="U44" s="9"/>
      <c r="V44" s="9"/>
      <c r="W44" s="9"/>
      <c r="X44" s="9"/>
      <c r="Y44" s="9"/>
      <c r="Z44" s="9"/>
      <c r="AA44" s="9"/>
      <c r="AB44" s="9"/>
      <c r="AC44" s="9"/>
    </row>
    <row r="45" spans="1:29">
      <c r="A45" s="9"/>
      <c r="B45" s="220">
        <f t="shared" si="1"/>
        <v>17</v>
      </c>
      <c r="C45" s="511">
        <f t="shared" si="3"/>
        <v>52132</v>
      </c>
      <c r="D45" s="40"/>
      <c r="E45" s="40"/>
      <c r="F45" s="40"/>
      <c r="G45" s="40"/>
      <c r="H45" s="40"/>
      <c r="I45" s="40"/>
      <c r="J45" s="40"/>
      <c r="K45" s="40"/>
      <c r="L45" s="40"/>
      <c r="M45" s="28">
        <f t="shared" si="2"/>
        <v>0</v>
      </c>
      <c r="N45" s="40"/>
      <c r="O45" s="40"/>
      <c r="P45" s="40"/>
      <c r="Q45" s="40"/>
      <c r="R45" s="9"/>
      <c r="S45" s="9"/>
      <c r="T45" s="9"/>
      <c r="U45" s="9"/>
      <c r="V45" s="9"/>
      <c r="W45" s="9"/>
      <c r="X45" s="9"/>
      <c r="Y45" s="9"/>
      <c r="Z45" s="9"/>
      <c r="AA45" s="9"/>
      <c r="AB45" s="9"/>
      <c r="AC45" s="9"/>
    </row>
    <row r="46" spans="1:29">
      <c r="A46" s="9"/>
      <c r="B46" s="220">
        <f t="shared" si="1"/>
        <v>18</v>
      </c>
      <c r="C46" s="511">
        <f t="shared" si="3"/>
        <v>52497</v>
      </c>
      <c r="D46" s="40"/>
      <c r="E46" s="40"/>
      <c r="F46" s="40"/>
      <c r="G46" s="40"/>
      <c r="H46" s="40"/>
      <c r="I46" s="40"/>
      <c r="J46" s="40"/>
      <c r="K46" s="40"/>
      <c r="L46" s="40"/>
      <c r="M46" s="28">
        <f t="shared" si="2"/>
        <v>0</v>
      </c>
      <c r="N46" s="40"/>
      <c r="O46" s="40"/>
      <c r="P46" s="40"/>
      <c r="Q46" s="40"/>
      <c r="R46" s="9"/>
      <c r="S46" s="9"/>
      <c r="T46" s="9"/>
      <c r="U46" s="9"/>
      <c r="V46" s="9"/>
      <c r="W46" s="9"/>
      <c r="X46" s="9"/>
      <c r="Y46" s="9"/>
      <c r="Z46" s="9"/>
      <c r="AA46" s="9"/>
      <c r="AB46" s="9"/>
      <c r="AC46" s="9"/>
    </row>
    <row r="47" spans="1:29">
      <c r="A47" s="9"/>
      <c r="B47" s="220">
        <f t="shared" si="1"/>
        <v>19</v>
      </c>
      <c r="C47" s="511">
        <f t="shared" si="3"/>
        <v>52863</v>
      </c>
      <c r="D47" s="40"/>
      <c r="E47" s="40"/>
      <c r="F47" s="40"/>
      <c r="G47" s="40"/>
      <c r="H47" s="40"/>
      <c r="I47" s="40"/>
      <c r="J47" s="40"/>
      <c r="K47" s="40"/>
      <c r="L47" s="40"/>
      <c r="M47" s="28">
        <f t="shared" si="2"/>
        <v>0</v>
      </c>
      <c r="N47" s="40"/>
      <c r="O47" s="40"/>
      <c r="P47" s="40"/>
      <c r="Q47" s="40"/>
      <c r="R47" s="9"/>
      <c r="S47" s="9"/>
      <c r="T47" s="9"/>
      <c r="U47" s="9"/>
      <c r="V47" s="9"/>
      <c r="W47" s="9"/>
      <c r="X47" s="9"/>
      <c r="Y47" s="9"/>
      <c r="Z47" s="9"/>
      <c r="AA47" s="9"/>
      <c r="AB47" s="9"/>
      <c r="AC47" s="9"/>
    </row>
    <row r="48" spans="1:29">
      <c r="A48" s="9"/>
      <c r="B48" s="220">
        <f t="shared" si="1"/>
        <v>20</v>
      </c>
      <c r="C48" s="511">
        <f t="shared" si="3"/>
        <v>53228</v>
      </c>
      <c r="D48" s="40"/>
      <c r="E48" s="40"/>
      <c r="F48" s="40"/>
      <c r="G48" s="40"/>
      <c r="H48" s="40"/>
      <c r="I48" s="40"/>
      <c r="J48" s="40"/>
      <c r="K48" s="40"/>
      <c r="L48" s="40"/>
      <c r="M48" s="28">
        <f t="shared" si="2"/>
        <v>0</v>
      </c>
      <c r="N48" s="40"/>
      <c r="O48" s="40"/>
      <c r="P48" s="40"/>
      <c r="Q48" s="40"/>
      <c r="R48" s="9"/>
      <c r="S48" s="9"/>
      <c r="T48" s="9"/>
      <c r="U48" s="9"/>
      <c r="V48" s="9"/>
      <c r="W48" s="9"/>
      <c r="X48" s="9"/>
      <c r="Y48" s="9"/>
      <c r="Z48" s="9"/>
      <c r="AA48" s="9"/>
      <c r="AB48" s="9"/>
      <c r="AC48" s="9"/>
    </row>
    <row r="49" spans="1:29">
      <c r="A49" s="9"/>
      <c r="B49" s="220">
        <f t="shared" si="1"/>
        <v>21</v>
      </c>
      <c r="C49" s="511">
        <f t="shared" si="3"/>
        <v>53593</v>
      </c>
      <c r="D49" s="40"/>
      <c r="E49" s="40"/>
      <c r="F49" s="40"/>
      <c r="G49" s="40"/>
      <c r="H49" s="40"/>
      <c r="I49" s="40"/>
      <c r="J49" s="40"/>
      <c r="K49" s="40"/>
      <c r="L49" s="40"/>
      <c r="M49" s="28">
        <f t="shared" si="2"/>
        <v>0</v>
      </c>
      <c r="N49" s="40"/>
      <c r="O49" s="40"/>
      <c r="P49" s="40"/>
      <c r="Q49" s="40"/>
      <c r="R49" s="9"/>
      <c r="S49" s="9"/>
      <c r="T49" s="9"/>
      <c r="U49" s="9"/>
      <c r="V49" s="9"/>
      <c r="W49" s="9"/>
      <c r="X49" s="9"/>
      <c r="Y49" s="9"/>
      <c r="Z49" s="9"/>
      <c r="AA49" s="9"/>
      <c r="AB49" s="9"/>
      <c r="AC49" s="9"/>
    </row>
    <row r="50" spans="1:29">
      <c r="A50" s="9"/>
      <c r="B50" s="220">
        <f t="shared" si="1"/>
        <v>22</v>
      </c>
      <c r="C50" s="511">
        <f t="shared" si="3"/>
        <v>53958</v>
      </c>
      <c r="D50" s="40"/>
      <c r="E50" s="40"/>
      <c r="F50" s="40"/>
      <c r="G50" s="40"/>
      <c r="H50" s="40"/>
      <c r="I50" s="40"/>
      <c r="J50" s="40"/>
      <c r="K50" s="40"/>
      <c r="L50" s="40"/>
      <c r="M50" s="28">
        <f t="shared" si="2"/>
        <v>0</v>
      </c>
      <c r="N50" s="40"/>
      <c r="O50" s="40"/>
      <c r="P50" s="40"/>
      <c r="Q50" s="40"/>
      <c r="R50" s="9"/>
      <c r="S50" s="9"/>
      <c r="T50" s="9"/>
      <c r="U50" s="9"/>
      <c r="V50" s="9"/>
      <c r="W50" s="9"/>
      <c r="X50" s="9"/>
      <c r="Y50" s="9"/>
      <c r="Z50" s="9"/>
      <c r="AA50" s="9"/>
      <c r="AB50" s="9"/>
      <c r="AC50" s="9"/>
    </row>
    <row r="51" spans="1:29">
      <c r="A51" s="9"/>
      <c r="B51" s="220">
        <f t="shared" si="1"/>
        <v>23</v>
      </c>
      <c r="C51" s="511">
        <f t="shared" si="3"/>
        <v>54324</v>
      </c>
      <c r="D51" s="40"/>
      <c r="E51" s="40"/>
      <c r="F51" s="40"/>
      <c r="G51" s="40"/>
      <c r="H51" s="40"/>
      <c r="I51" s="40"/>
      <c r="J51" s="40"/>
      <c r="K51" s="40"/>
      <c r="L51" s="40"/>
      <c r="M51" s="28">
        <f t="shared" si="2"/>
        <v>0</v>
      </c>
      <c r="N51" s="40"/>
      <c r="O51" s="40"/>
      <c r="P51" s="40"/>
      <c r="Q51" s="40"/>
      <c r="R51" s="9"/>
      <c r="S51" s="9"/>
      <c r="T51" s="9"/>
      <c r="U51" s="9"/>
      <c r="V51" s="9"/>
      <c r="W51" s="9"/>
      <c r="X51" s="9"/>
      <c r="Y51" s="9"/>
      <c r="Z51" s="9"/>
      <c r="AA51" s="9"/>
      <c r="AB51" s="9"/>
      <c r="AC51" s="9"/>
    </row>
    <row r="52" spans="1:29">
      <c r="A52" s="9"/>
      <c r="B52" s="220">
        <f t="shared" si="1"/>
        <v>24</v>
      </c>
      <c r="C52" s="511">
        <f t="shared" si="3"/>
        <v>54689</v>
      </c>
      <c r="D52" s="40"/>
      <c r="E52" s="40"/>
      <c r="F52" s="40"/>
      <c r="G52" s="40"/>
      <c r="H52" s="40"/>
      <c r="I52" s="40"/>
      <c r="J52" s="40"/>
      <c r="K52" s="40"/>
      <c r="L52" s="40"/>
      <c r="M52" s="28">
        <f t="shared" si="2"/>
        <v>0</v>
      </c>
      <c r="N52" s="40"/>
      <c r="O52" s="40"/>
      <c r="P52" s="40"/>
      <c r="Q52" s="40"/>
      <c r="R52" s="9"/>
      <c r="S52" s="9"/>
      <c r="T52" s="9"/>
      <c r="U52" s="9"/>
      <c r="V52" s="9"/>
      <c r="W52" s="9"/>
      <c r="X52" s="9"/>
      <c r="Y52" s="9"/>
      <c r="Z52" s="9"/>
      <c r="AA52" s="9"/>
      <c r="AB52" s="9"/>
      <c r="AC52" s="9"/>
    </row>
    <row r="53" spans="1:29">
      <c r="A53" s="9"/>
      <c r="B53" s="220">
        <f t="shared" si="1"/>
        <v>25</v>
      </c>
      <c r="C53" s="511">
        <f t="shared" si="3"/>
        <v>55054</v>
      </c>
      <c r="D53" s="40"/>
      <c r="E53" s="40"/>
      <c r="F53" s="40"/>
      <c r="G53" s="40"/>
      <c r="H53" s="40"/>
      <c r="I53" s="40"/>
      <c r="J53" s="40"/>
      <c r="K53" s="40"/>
      <c r="L53" s="40"/>
      <c r="M53" s="28">
        <f t="shared" si="2"/>
        <v>0</v>
      </c>
      <c r="N53" s="40"/>
      <c r="O53" s="40"/>
      <c r="P53" s="40"/>
      <c r="Q53" s="40"/>
      <c r="R53" s="9"/>
      <c r="S53" s="9"/>
      <c r="T53" s="9"/>
      <c r="U53" s="9"/>
      <c r="V53" s="9"/>
      <c r="W53" s="9"/>
      <c r="X53" s="9"/>
      <c r="Y53" s="9"/>
      <c r="Z53" s="9"/>
      <c r="AA53" s="9"/>
      <c r="AB53" s="9"/>
      <c r="AC53" s="9"/>
    </row>
    <row r="54" spans="1:29">
      <c r="A54" s="9"/>
      <c r="B54" s="220">
        <f t="shared" si="1"/>
        <v>26</v>
      </c>
      <c r="C54" s="511">
        <f t="shared" si="3"/>
        <v>55419</v>
      </c>
      <c r="D54" s="40"/>
      <c r="E54" s="40"/>
      <c r="F54" s="40"/>
      <c r="G54" s="40"/>
      <c r="H54" s="40"/>
      <c r="I54" s="40"/>
      <c r="J54" s="40"/>
      <c r="K54" s="40"/>
      <c r="L54" s="40"/>
      <c r="M54" s="28">
        <f t="shared" si="2"/>
        <v>0</v>
      </c>
      <c r="N54" s="40"/>
      <c r="O54" s="40"/>
      <c r="P54" s="40"/>
      <c r="Q54" s="40"/>
      <c r="R54" s="9"/>
      <c r="S54" s="9"/>
      <c r="T54" s="9"/>
      <c r="U54" s="9"/>
      <c r="V54" s="9"/>
      <c r="W54" s="9"/>
      <c r="X54" s="9"/>
      <c r="Y54" s="9"/>
      <c r="Z54" s="9"/>
      <c r="AA54" s="9"/>
      <c r="AB54" s="9"/>
      <c r="AC54" s="9"/>
    </row>
    <row r="55" spans="1:29">
      <c r="A55" s="9"/>
      <c r="B55" s="220">
        <f t="shared" si="1"/>
        <v>27</v>
      </c>
      <c r="C55" s="511">
        <f t="shared" si="3"/>
        <v>55785</v>
      </c>
      <c r="D55" s="40"/>
      <c r="E55" s="40"/>
      <c r="F55" s="40"/>
      <c r="G55" s="40"/>
      <c r="H55" s="40"/>
      <c r="I55" s="40"/>
      <c r="J55" s="40"/>
      <c r="K55" s="40"/>
      <c r="L55" s="40"/>
      <c r="M55" s="28">
        <f t="shared" si="2"/>
        <v>0</v>
      </c>
      <c r="N55" s="40"/>
      <c r="O55" s="40"/>
      <c r="P55" s="40"/>
      <c r="Q55" s="40"/>
      <c r="R55" s="9"/>
      <c r="S55" s="9"/>
      <c r="T55" s="9"/>
      <c r="U55" s="9"/>
      <c r="V55" s="9"/>
      <c r="W55" s="9"/>
      <c r="X55" s="9"/>
      <c r="Y55" s="9"/>
      <c r="Z55" s="9"/>
      <c r="AA55" s="9"/>
      <c r="AB55" s="9"/>
      <c r="AC55" s="9"/>
    </row>
    <row r="56" spans="1:29">
      <c r="A56" s="9"/>
      <c r="B56" s="220">
        <f t="shared" si="1"/>
        <v>28</v>
      </c>
      <c r="C56" s="511">
        <f t="shared" si="3"/>
        <v>56150</v>
      </c>
      <c r="D56" s="40"/>
      <c r="E56" s="40"/>
      <c r="F56" s="40"/>
      <c r="G56" s="40"/>
      <c r="H56" s="40"/>
      <c r="I56" s="40"/>
      <c r="J56" s="40"/>
      <c r="K56" s="40"/>
      <c r="L56" s="40"/>
      <c r="M56" s="28">
        <f t="shared" si="2"/>
        <v>0</v>
      </c>
      <c r="N56" s="40"/>
      <c r="O56" s="40"/>
      <c r="P56" s="40"/>
      <c r="Q56" s="40"/>
      <c r="R56" s="9"/>
      <c r="S56" s="9"/>
      <c r="T56" s="9"/>
      <c r="U56" s="9"/>
      <c r="V56" s="9"/>
      <c r="W56" s="9"/>
      <c r="X56" s="9"/>
      <c r="Y56" s="9"/>
      <c r="Z56" s="9"/>
      <c r="AA56" s="9"/>
      <c r="AB56" s="9"/>
      <c r="AC56" s="9"/>
    </row>
    <row r="57" spans="1:29">
      <c r="A57" s="9"/>
      <c r="B57" s="220">
        <f t="shared" si="1"/>
        <v>29</v>
      </c>
      <c r="C57" s="511">
        <f t="shared" si="3"/>
        <v>56515</v>
      </c>
      <c r="D57" s="40"/>
      <c r="E57" s="40"/>
      <c r="F57" s="40"/>
      <c r="G57" s="40"/>
      <c r="H57" s="40"/>
      <c r="I57" s="40"/>
      <c r="J57" s="40"/>
      <c r="K57" s="40"/>
      <c r="L57" s="40"/>
      <c r="M57" s="28">
        <f t="shared" si="2"/>
        <v>0</v>
      </c>
      <c r="N57" s="40"/>
      <c r="O57" s="40"/>
      <c r="P57" s="40"/>
      <c r="Q57" s="40"/>
      <c r="R57" s="9"/>
      <c r="S57" s="9"/>
      <c r="T57" s="9"/>
      <c r="U57" s="9"/>
      <c r="V57" s="9"/>
      <c r="W57" s="9"/>
      <c r="X57" s="9"/>
      <c r="Y57" s="9"/>
      <c r="Z57" s="9"/>
      <c r="AA57" s="9"/>
      <c r="AB57" s="9"/>
      <c r="AC57" s="9"/>
    </row>
    <row r="58" spans="1:29">
      <c r="A58" s="9"/>
      <c r="B58" s="220">
        <f t="shared" si="1"/>
        <v>30</v>
      </c>
      <c r="C58" s="511">
        <f t="shared" si="3"/>
        <v>56880</v>
      </c>
      <c r="D58" s="40"/>
      <c r="E58" s="40"/>
      <c r="F58" s="40"/>
      <c r="G58" s="40"/>
      <c r="H58" s="40"/>
      <c r="I58" s="40"/>
      <c r="J58" s="40"/>
      <c r="K58" s="40"/>
      <c r="L58" s="40"/>
      <c r="M58" s="28">
        <f t="shared" si="2"/>
        <v>0</v>
      </c>
      <c r="N58" s="40"/>
      <c r="O58" s="40"/>
      <c r="P58" s="40"/>
      <c r="Q58" s="40"/>
      <c r="R58" s="9"/>
      <c r="S58" s="9"/>
      <c r="T58" s="9"/>
      <c r="U58" s="9"/>
      <c r="V58" s="9"/>
      <c r="W58" s="9"/>
      <c r="X58" s="9"/>
      <c r="Y58" s="9"/>
      <c r="Z58" s="9"/>
      <c r="AA58" s="9"/>
      <c r="AB58" s="9"/>
      <c r="AC58" s="9"/>
    </row>
    <row r="59" spans="1:29">
      <c r="A59" s="9"/>
      <c r="B59" s="220">
        <f t="shared" si="1"/>
        <v>31</v>
      </c>
      <c r="C59" s="511">
        <f t="shared" si="3"/>
        <v>57246</v>
      </c>
      <c r="D59" s="40"/>
      <c r="E59" s="40"/>
      <c r="F59" s="40"/>
      <c r="G59" s="40"/>
      <c r="H59" s="40"/>
      <c r="I59" s="40"/>
      <c r="J59" s="40"/>
      <c r="K59" s="40"/>
      <c r="L59" s="40"/>
      <c r="M59" s="28">
        <f t="shared" si="2"/>
        <v>0</v>
      </c>
      <c r="N59" s="40"/>
      <c r="O59" s="40"/>
      <c r="P59" s="40"/>
      <c r="Q59" s="40"/>
      <c r="R59" s="9"/>
      <c r="S59" s="9"/>
      <c r="T59" s="9"/>
      <c r="U59" s="9"/>
      <c r="V59" s="9"/>
      <c r="W59" s="9"/>
      <c r="X59" s="9"/>
      <c r="Y59" s="9"/>
      <c r="Z59" s="9"/>
      <c r="AA59" s="9"/>
      <c r="AB59" s="9"/>
      <c r="AC59" s="9"/>
    </row>
    <row r="60" spans="1:29">
      <c r="A60" s="9"/>
      <c r="B60" s="220">
        <f t="shared" si="1"/>
        <v>32</v>
      </c>
      <c r="C60" s="511">
        <f t="shared" si="3"/>
        <v>57611</v>
      </c>
      <c r="D60" s="40"/>
      <c r="E60" s="40"/>
      <c r="F60" s="40"/>
      <c r="G60" s="40"/>
      <c r="H60" s="40"/>
      <c r="I60" s="40"/>
      <c r="J60" s="40"/>
      <c r="K60" s="40"/>
      <c r="L60" s="40"/>
      <c r="M60" s="28">
        <f t="shared" si="2"/>
        <v>0</v>
      </c>
      <c r="N60" s="40"/>
      <c r="O60" s="40"/>
      <c r="P60" s="40"/>
      <c r="Q60" s="40"/>
      <c r="R60" s="9"/>
      <c r="S60" s="9"/>
      <c r="T60" s="9"/>
      <c r="U60" s="9"/>
      <c r="V60" s="9"/>
      <c r="W60" s="9"/>
      <c r="X60" s="9"/>
      <c r="Y60" s="9"/>
      <c r="Z60" s="9"/>
      <c r="AA60" s="9"/>
      <c r="AB60" s="9"/>
      <c r="AC60" s="9"/>
    </row>
    <row r="61" spans="1:29">
      <c r="A61" s="9"/>
      <c r="B61" s="220">
        <f t="shared" si="1"/>
        <v>33</v>
      </c>
      <c r="C61" s="511">
        <f t="shared" si="3"/>
        <v>57976</v>
      </c>
      <c r="D61" s="40"/>
      <c r="E61" s="40"/>
      <c r="F61" s="40"/>
      <c r="G61" s="40"/>
      <c r="H61" s="40"/>
      <c r="I61" s="40"/>
      <c r="J61" s="40"/>
      <c r="K61" s="40"/>
      <c r="L61" s="40"/>
      <c r="M61" s="28">
        <f t="shared" si="2"/>
        <v>0</v>
      </c>
      <c r="N61" s="40"/>
      <c r="O61" s="40"/>
      <c r="P61" s="40"/>
      <c r="Q61" s="40"/>
      <c r="R61" s="9"/>
      <c r="S61" s="9"/>
      <c r="T61" s="9"/>
      <c r="U61" s="9"/>
      <c r="V61" s="9"/>
      <c r="W61" s="9"/>
      <c r="X61" s="9"/>
      <c r="Y61" s="9"/>
      <c r="Z61" s="9"/>
      <c r="AA61" s="9"/>
      <c r="AB61" s="9"/>
      <c r="AC61" s="9"/>
    </row>
    <row r="62" spans="1:29">
      <c r="A62" s="9"/>
      <c r="B62" s="220">
        <f t="shared" si="1"/>
        <v>34</v>
      </c>
      <c r="C62" s="511">
        <f t="shared" si="3"/>
        <v>58341</v>
      </c>
      <c r="D62" s="40"/>
      <c r="E62" s="40"/>
      <c r="F62" s="40"/>
      <c r="G62" s="40"/>
      <c r="H62" s="40"/>
      <c r="I62" s="40"/>
      <c r="J62" s="40"/>
      <c r="K62" s="40"/>
      <c r="L62" s="40"/>
      <c r="M62" s="28">
        <f t="shared" si="2"/>
        <v>0</v>
      </c>
      <c r="N62" s="40"/>
      <c r="O62" s="40"/>
      <c r="P62" s="40"/>
      <c r="Q62" s="40"/>
      <c r="R62" s="9"/>
      <c r="S62" s="9"/>
      <c r="T62" s="9"/>
      <c r="U62" s="9"/>
      <c r="V62" s="9"/>
      <c r="W62" s="9"/>
      <c r="X62" s="9"/>
      <c r="Y62" s="9"/>
      <c r="Z62" s="9"/>
      <c r="AA62" s="9"/>
      <c r="AB62" s="9"/>
      <c r="AC62" s="9"/>
    </row>
    <row r="63" spans="1:29">
      <c r="A63" s="9"/>
      <c r="B63" s="220">
        <f t="shared" si="1"/>
        <v>35</v>
      </c>
      <c r="C63" s="511">
        <f t="shared" si="3"/>
        <v>58707</v>
      </c>
      <c r="D63" s="40"/>
      <c r="E63" s="40"/>
      <c r="F63" s="40"/>
      <c r="G63" s="40"/>
      <c r="H63" s="40"/>
      <c r="I63" s="40"/>
      <c r="J63" s="40"/>
      <c r="K63" s="40"/>
      <c r="L63" s="40"/>
      <c r="M63" s="28">
        <f t="shared" si="2"/>
        <v>0</v>
      </c>
      <c r="N63" s="40"/>
      <c r="O63" s="40"/>
      <c r="P63" s="40"/>
      <c r="Q63" s="40"/>
      <c r="R63" s="9"/>
      <c r="S63" s="9"/>
      <c r="T63" s="9"/>
      <c r="U63" s="9"/>
      <c r="V63" s="9"/>
      <c r="W63" s="9"/>
      <c r="X63" s="9"/>
      <c r="Y63" s="9"/>
      <c r="Z63" s="9"/>
      <c r="AA63" s="9"/>
      <c r="AB63" s="9"/>
      <c r="AC63" s="9"/>
    </row>
    <row r="64" spans="1:29">
      <c r="A64" s="9"/>
      <c r="B64" s="220">
        <f t="shared" si="1"/>
        <v>36</v>
      </c>
      <c r="C64" s="511">
        <f t="shared" si="3"/>
        <v>59072</v>
      </c>
      <c r="D64" s="40"/>
      <c r="E64" s="40"/>
      <c r="F64" s="40"/>
      <c r="G64" s="40"/>
      <c r="H64" s="40"/>
      <c r="I64" s="40"/>
      <c r="J64" s="40"/>
      <c r="K64" s="40"/>
      <c r="L64" s="40"/>
      <c r="M64" s="28">
        <f t="shared" si="2"/>
        <v>0</v>
      </c>
      <c r="N64" s="40"/>
      <c r="O64" s="40"/>
      <c r="P64" s="40"/>
      <c r="Q64" s="40"/>
      <c r="R64" s="9"/>
      <c r="S64" s="9"/>
      <c r="T64" s="9"/>
      <c r="U64" s="9"/>
      <c r="V64" s="9"/>
      <c r="W64" s="9"/>
      <c r="X64" s="9"/>
      <c r="Y64" s="9"/>
      <c r="Z64" s="9"/>
      <c r="AA64" s="9"/>
      <c r="AB64" s="9"/>
      <c r="AC64" s="9"/>
    </row>
    <row r="65" spans="1:29">
      <c r="A65" s="9"/>
      <c r="B65" s="220">
        <f t="shared" si="1"/>
        <v>37</v>
      </c>
      <c r="C65" s="511">
        <f t="shared" si="3"/>
        <v>59437</v>
      </c>
      <c r="D65" s="40"/>
      <c r="E65" s="40"/>
      <c r="F65" s="40"/>
      <c r="G65" s="40"/>
      <c r="H65" s="40"/>
      <c r="I65" s="40"/>
      <c r="J65" s="40"/>
      <c r="K65" s="40"/>
      <c r="L65" s="40"/>
      <c r="M65" s="28">
        <f t="shared" si="2"/>
        <v>0</v>
      </c>
      <c r="N65" s="40"/>
      <c r="O65" s="40"/>
      <c r="P65" s="40"/>
      <c r="Q65" s="40"/>
      <c r="R65" s="9"/>
      <c r="S65" s="9"/>
      <c r="T65" s="9"/>
      <c r="U65" s="9"/>
      <c r="V65" s="9"/>
      <c r="W65" s="9"/>
      <c r="X65" s="9"/>
      <c r="Y65" s="9"/>
      <c r="Z65" s="9"/>
      <c r="AA65" s="9"/>
      <c r="AB65" s="9"/>
      <c r="AC65" s="9"/>
    </row>
    <row r="66" spans="1:29">
      <c r="A66" s="9"/>
      <c r="B66" s="220">
        <f t="shared" si="1"/>
        <v>38</v>
      </c>
      <c r="C66" s="511">
        <f t="shared" si="3"/>
        <v>59802</v>
      </c>
      <c r="D66" s="40"/>
      <c r="E66" s="40"/>
      <c r="F66" s="40"/>
      <c r="G66" s="40"/>
      <c r="H66" s="40"/>
      <c r="I66" s="40"/>
      <c r="J66" s="40"/>
      <c r="K66" s="40"/>
      <c r="L66" s="40"/>
      <c r="M66" s="28">
        <f t="shared" si="2"/>
        <v>0</v>
      </c>
      <c r="N66" s="40"/>
      <c r="O66" s="40"/>
      <c r="P66" s="40"/>
      <c r="Q66" s="40"/>
      <c r="R66" s="9"/>
      <c r="S66" s="9"/>
      <c r="T66" s="9"/>
      <c r="U66" s="9"/>
      <c r="V66" s="9"/>
      <c r="W66" s="9"/>
      <c r="X66" s="9"/>
      <c r="Y66" s="9"/>
      <c r="Z66" s="9"/>
      <c r="AA66" s="9"/>
      <c r="AB66" s="9"/>
      <c r="AC66" s="9"/>
    </row>
    <row r="67" spans="1:29">
      <c r="A67" s="9"/>
      <c r="B67" s="220">
        <f t="shared" si="1"/>
        <v>39</v>
      </c>
      <c r="C67" s="511">
        <f t="shared" si="3"/>
        <v>60168</v>
      </c>
      <c r="D67" s="40"/>
      <c r="E67" s="40"/>
      <c r="F67" s="40"/>
      <c r="G67" s="40"/>
      <c r="H67" s="40"/>
      <c r="I67" s="40"/>
      <c r="J67" s="40"/>
      <c r="K67" s="40"/>
      <c r="L67" s="40"/>
      <c r="M67" s="28">
        <f t="shared" si="2"/>
        <v>0</v>
      </c>
      <c r="N67" s="40"/>
      <c r="O67" s="40"/>
      <c r="P67" s="40"/>
      <c r="Q67" s="40"/>
      <c r="R67" s="9"/>
      <c r="S67" s="9"/>
      <c r="T67" s="9"/>
      <c r="U67" s="9"/>
      <c r="V67" s="9"/>
      <c r="W67" s="9"/>
      <c r="X67" s="9"/>
      <c r="Y67" s="9"/>
      <c r="Z67" s="9"/>
      <c r="AA67" s="9"/>
      <c r="AB67" s="9"/>
      <c r="AC67" s="9"/>
    </row>
    <row r="68" spans="1:29">
      <c r="A68" s="9"/>
      <c r="B68" s="220">
        <f t="shared" si="1"/>
        <v>40</v>
      </c>
      <c r="C68" s="511">
        <f t="shared" si="3"/>
        <v>60533</v>
      </c>
      <c r="D68" s="40"/>
      <c r="E68" s="40"/>
      <c r="F68" s="40"/>
      <c r="G68" s="40"/>
      <c r="H68" s="40"/>
      <c r="I68" s="40"/>
      <c r="J68" s="40"/>
      <c r="K68" s="40"/>
      <c r="L68" s="40"/>
      <c r="M68" s="28">
        <f t="shared" si="2"/>
        <v>0</v>
      </c>
      <c r="N68" s="40"/>
      <c r="O68" s="40"/>
      <c r="P68" s="40"/>
      <c r="Q68" s="40"/>
      <c r="R68" s="9"/>
      <c r="S68" s="9"/>
      <c r="T68" s="9"/>
      <c r="U68" s="9"/>
      <c r="V68" s="9"/>
      <c r="W68" s="9"/>
      <c r="X68" s="9"/>
      <c r="Y68" s="9"/>
      <c r="Z68" s="9"/>
      <c r="AA68" s="9"/>
      <c r="AB68" s="9"/>
      <c r="AC68" s="9"/>
    </row>
    <row r="69" spans="1:29">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row>
    <row r="70" spans="1:29">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row>
    <row r="71" spans="1:29">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row>
    <row r="72" spans="1:29">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row>
    <row r="73" spans="1:29">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row>
    <row r="74" spans="1:29" ht="12.75" customHeight="1">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row>
    <row r="75" spans="1:29">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row>
    <row r="76" spans="1:29">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row>
    <row r="77" spans="1:29">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row>
    <row r="78" spans="1:29">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row>
    <row r="79" spans="1:29">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row>
    <row r="80" spans="1:29">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row>
    <row r="81" spans="1:29">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row>
    <row r="82" spans="1:29">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row>
    <row r="83" spans="1:29">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row>
    <row r="84" spans="1:29">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row>
    <row r="85" spans="1:29">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row>
    <row r="86" spans="1:29">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row>
    <row r="87" spans="1:29">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row>
    <row r="88" spans="1:29">
      <c r="A88" s="9"/>
      <c r="B88" s="9"/>
      <c r="C88" s="9"/>
      <c r="D88" s="9"/>
      <c r="E88" s="9"/>
      <c r="F88" s="9"/>
      <c r="G88" s="9"/>
      <c r="H88" s="9"/>
      <c r="I88" s="9"/>
      <c r="J88" s="9"/>
      <c r="K88" s="9"/>
      <c r="L88" s="9"/>
      <c r="M88" s="9"/>
      <c r="N88" s="9"/>
      <c r="O88" s="9"/>
      <c r="P88" s="9"/>
      <c r="Q88" s="9"/>
      <c r="R88" s="9"/>
      <c r="S88" s="9"/>
      <c r="T88" s="9"/>
      <c r="U88" s="9"/>
      <c r="V88" s="9"/>
      <c r="W88" s="9"/>
      <c r="X88" s="9"/>
      <c r="Y88" s="9"/>
      <c r="Z88" s="9"/>
      <c r="AA88" s="9"/>
      <c r="AB88" s="9"/>
      <c r="AC88" s="9"/>
    </row>
    <row r="89" spans="1:29">
      <c r="A89" s="9"/>
      <c r="B89" s="9"/>
      <c r="C89" s="9"/>
      <c r="D89" s="9"/>
      <c r="E89" s="9"/>
      <c r="F89" s="9"/>
      <c r="G89" s="9"/>
      <c r="H89" s="9"/>
      <c r="I89" s="9"/>
      <c r="J89" s="9"/>
      <c r="K89" s="9"/>
      <c r="L89" s="9"/>
      <c r="M89" s="9"/>
      <c r="N89" s="9"/>
      <c r="O89" s="9"/>
      <c r="P89" s="9"/>
      <c r="Q89" s="9"/>
      <c r="R89" s="9"/>
      <c r="S89" s="9"/>
      <c r="T89" s="9"/>
      <c r="U89" s="9"/>
      <c r="V89" s="9"/>
      <c r="W89" s="9"/>
      <c r="X89" s="9"/>
      <c r="Y89" s="9"/>
      <c r="Z89" s="9"/>
      <c r="AA89" s="9"/>
      <c r="AB89" s="9"/>
      <c r="AC89" s="9"/>
    </row>
    <row r="90" spans="1:29">
      <c r="A90" s="9"/>
      <c r="B90" s="9"/>
      <c r="C90" s="9"/>
      <c r="D90" s="9"/>
      <c r="E90" s="9"/>
      <c r="F90" s="9"/>
      <c r="G90" s="9"/>
      <c r="H90" s="9"/>
      <c r="I90" s="9"/>
      <c r="J90" s="9"/>
      <c r="K90" s="9"/>
      <c r="L90" s="9"/>
      <c r="M90" s="9"/>
      <c r="N90" s="9"/>
      <c r="O90" s="9"/>
      <c r="P90" s="9"/>
      <c r="Q90" s="9"/>
      <c r="R90" s="9"/>
      <c r="S90" s="9"/>
      <c r="T90" s="9"/>
      <c r="U90" s="9"/>
      <c r="V90" s="9"/>
      <c r="W90" s="9"/>
      <c r="X90" s="9"/>
      <c r="Y90" s="9"/>
      <c r="Z90" s="9"/>
      <c r="AA90" s="9"/>
      <c r="AB90" s="9"/>
      <c r="AC90" s="9"/>
    </row>
    <row r="91" spans="1:29">
      <c r="A91" s="9"/>
      <c r="B91" s="9"/>
      <c r="C91" s="9"/>
      <c r="D91" s="9"/>
      <c r="E91" s="9"/>
      <c r="F91" s="9"/>
      <c r="G91" s="9"/>
      <c r="H91" s="9"/>
      <c r="I91" s="9"/>
      <c r="J91" s="9"/>
      <c r="K91" s="9"/>
      <c r="L91" s="9"/>
      <c r="M91" s="9"/>
      <c r="N91" s="9"/>
      <c r="O91" s="9"/>
      <c r="P91" s="9"/>
      <c r="Q91" s="9"/>
      <c r="R91" s="9"/>
      <c r="S91" s="9"/>
      <c r="T91" s="9"/>
      <c r="U91" s="9"/>
      <c r="V91" s="9"/>
      <c r="W91" s="9"/>
      <c r="X91" s="9"/>
      <c r="Y91" s="9"/>
      <c r="Z91" s="9"/>
      <c r="AA91" s="9"/>
      <c r="AB91" s="9"/>
      <c r="AC91" s="9"/>
    </row>
    <row r="92" spans="1:29">
      <c r="A92" s="9"/>
      <c r="B92" s="9"/>
      <c r="C92" s="9"/>
      <c r="D92" s="9"/>
      <c r="E92" s="9"/>
      <c r="F92" s="9"/>
      <c r="G92" s="9"/>
      <c r="H92" s="9"/>
      <c r="I92" s="9"/>
      <c r="J92" s="9"/>
      <c r="K92" s="9"/>
      <c r="L92" s="9"/>
      <c r="M92" s="9"/>
      <c r="N92" s="9"/>
      <c r="O92" s="9"/>
      <c r="P92" s="9"/>
      <c r="Q92" s="9"/>
      <c r="R92" s="9"/>
      <c r="S92" s="9"/>
      <c r="T92" s="9"/>
      <c r="U92" s="9"/>
      <c r="V92" s="9"/>
      <c r="W92" s="9"/>
      <c r="X92" s="9"/>
      <c r="Y92" s="9"/>
      <c r="Z92" s="9"/>
      <c r="AA92" s="9"/>
      <c r="AB92" s="9"/>
      <c r="AC92" s="9"/>
    </row>
    <row r="93" spans="1:29">
      <c r="A93" s="9"/>
      <c r="B93" s="9"/>
      <c r="C93" s="9"/>
      <c r="D93" s="9"/>
      <c r="E93" s="9"/>
      <c r="F93" s="9"/>
      <c r="G93" s="9"/>
      <c r="H93" s="9"/>
      <c r="I93" s="9"/>
      <c r="J93" s="9"/>
      <c r="K93" s="9"/>
      <c r="L93" s="9"/>
      <c r="M93" s="9"/>
      <c r="N93" s="9"/>
      <c r="O93" s="9"/>
      <c r="P93" s="9"/>
      <c r="Q93" s="9"/>
      <c r="R93" s="9"/>
      <c r="S93" s="9"/>
      <c r="T93" s="9"/>
      <c r="U93" s="9"/>
      <c r="V93" s="9"/>
      <c r="W93" s="9"/>
      <c r="X93" s="9"/>
      <c r="Y93" s="9"/>
      <c r="Z93" s="9"/>
      <c r="AA93" s="9"/>
      <c r="AB93" s="9"/>
      <c r="AC93" s="9"/>
    </row>
    <row r="94" spans="1:29">
      <c r="A94" s="9"/>
      <c r="B94" s="9"/>
      <c r="C94" s="9"/>
      <c r="D94" s="9"/>
      <c r="E94" s="9"/>
      <c r="F94" s="9"/>
      <c r="G94" s="9"/>
      <c r="H94" s="9"/>
      <c r="I94" s="9"/>
      <c r="J94" s="9"/>
      <c r="K94" s="9"/>
      <c r="L94" s="9"/>
      <c r="M94" s="9"/>
      <c r="N94" s="9"/>
      <c r="O94" s="9"/>
      <c r="P94" s="9"/>
      <c r="Q94" s="9"/>
      <c r="R94" s="9"/>
      <c r="S94" s="9"/>
      <c r="T94" s="9"/>
      <c r="U94" s="9"/>
      <c r="V94" s="9"/>
      <c r="W94" s="9"/>
      <c r="X94" s="9"/>
      <c r="Y94" s="9"/>
      <c r="Z94" s="9"/>
      <c r="AA94" s="9"/>
      <c r="AB94" s="9"/>
      <c r="AC94" s="9"/>
    </row>
    <row r="95" spans="1:29">
      <c r="A95" s="9"/>
      <c r="B95" s="9"/>
      <c r="C95" s="9"/>
      <c r="D95" s="9"/>
      <c r="E95" s="9"/>
      <c r="F95" s="9"/>
      <c r="G95" s="9"/>
      <c r="H95" s="9"/>
      <c r="I95" s="9"/>
      <c r="J95" s="9"/>
      <c r="K95" s="9"/>
      <c r="L95" s="9"/>
      <c r="M95" s="9"/>
      <c r="N95" s="9"/>
      <c r="O95" s="9"/>
      <c r="P95" s="9"/>
      <c r="Q95" s="9"/>
      <c r="R95" s="9"/>
      <c r="S95" s="9"/>
      <c r="T95" s="9"/>
      <c r="U95" s="9"/>
      <c r="V95" s="9"/>
      <c r="W95" s="9"/>
      <c r="X95" s="9"/>
      <c r="Y95" s="9"/>
      <c r="Z95" s="9"/>
      <c r="AA95" s="9"/>
      <c r="AB95" s="9"/>
      <c r="AC95" s="9"/>
    </row>
    <row r="96" spans="1:29">
      <c r="A96" s="9"/>
      <c r="B96" s="9"/>
      <c r="C96" s="9"/>
      <c r="D96" s="9"/>
      <c r="E96" s="9"/>
      <c r="F96" s="9"/>
      <c r="G96" s="9"/>
      <c r="H96" s="9"/>
      <c r="I96" s="9"/>
      <c r="J96" s="9"/>
      <c r="K96" s="9"/>
      <c r="L96" s="9"/>
      <c r="M96" s="9"/>
      <c r="N96" s="9"/>
      <c r="O96" s="9"/>
      <c r="P96" s="9"/>
      <c r="Q96" s="9"/>
      <c r="R96" s="9"/>
      <c r="S96" s="9"/>
      <c r="T96" s="9"/>
      <c r="U96" s="9"/>
      <c r="V96" s="9"/>
      <c r="W96" s="9"/>
      <c r="X96" s="9"/>
      <c r="Y96" s="9"/>
      <c r="Z96" s="9"/>
      <c r="AA96" s="9"/>
      <c r="AB96" s="9"/>
      <c r="AC96" s="9"/>
    </row>
    <row r="97" spans="1:29">
      <c r="A97" s="9"/>
      <c r="B97" s="9"/>
      <c r="C97" s="9"/>
      <c r="D97" s="9"/>
      <c r="E97" s="9"/>
      <c r="F97" s="9"/>
      <c r="G97" s="9"/>
      <c r="H97" s="9"/>
      <c r="I97" s="9"/>
      <c r="J97" s="9"/>
      <c r="K97" s="9"/>
      <c r="L97" s="9"/>
      <c r="M97" s="9"/>
      <c r="N97" s="9"/>
      <c r="O97" s="9"/>
      <c r="P97" s="9"/>
      <c r="Q97" s="9"/>
      <c r="R97" s="9"/>
      <c r="S97" s="9"/>
      <c r="T97" s="9"/>
      <c r="U97" s="9"/>
      <c r="V97" s="9"/>
      <c r="W97" s="9"/>
      <c r="X97" s="9"/>
      <c r="Y97" s="9"/>
      <c r="Z97" s="9"/>
      <c r="AA97" s="9"/>
      <c r="AB97" s="9"/>
      <c r="AC97" s="9"/>
    </row>
    <row r="98" spans="1:29">
      <c r="A98" s="9"/>
      <c r="B98" s="9"/>
      <c r="C98" s="9"/>
      <c r="D98" s="9"/>
      <c r="E98" s="9"/>
      <c r="F98" s="9"/>
      <c r="G98" s="9"/>
      <c r="H98" s="9"/>
      <c r="I98" s="9"/>
      <c r="J98" s="9"/>
      <c r="K98" s="9"/>
      <c r="L98" s="9"/>
      <c r="M98" s="9"/>
      <c r="N98" s="9"/>
      <c r="O98" s="9"/>
      <c r="P98" s="9"/>
      <c r="Q98" s="9"/>
      <c r="R98" s="9"/>
      <c r="S98" s="9"/>
      <c r="T98" s="9"/>
      <c r="U98" s="9"/>
      <c r="V98" s="9"/>
      <c r="W98" s="9"/>
      <c r="X98" s="9"/>
      <c r="Y98" s="9"/>
      <c r="Z98" s="9"/>
      <c r="AA98" s="9"/>
      <c r="AB98" s="9"/>
      <c r="AC98" s="9"/>
    </row>
    <row r="99" spans="1:29">
      <c r="A99" s="9"/>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row>
    <row r="100" spans="1:29">
      <c r="A100" s="9"/>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row>
    <row r="101" spans="1:29">
      <c r="A101" s="9"/>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row>
    <row r="102" spans="1:29">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row>
    <row r="103" spans="1:29">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row>
    <row r="104" spans="1:29">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row>
    <row r="105" spans="1:29">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row>
    <row r="106" spans="1:29">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row>
    <row r="107" spans="1:29">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row>
    <row r="108" spans="1:29">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row>
    <row r="109" spans="1:29">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row>
    <row r="110" spans="1:29">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row>
    <row r="111" spans="1:29">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row>
    <row r="112" spans="1:29">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row>
    <row r="113" spans="1:29">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row>
    <row r="114" spans="1:29">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row>
    <row r="115" spans="1:29">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row>
    <row r="116" spans="1:29">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row>
    <row r="117" spans="1:29">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row>
    <row r="118" spans="1:29">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row>
    <row r="119" spans="1:29">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row>
    <row r="120" spans="1:29">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row>
    <row r="121" spans="1:29">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row>
    <row r="122" spans="1:29">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row>
    <row r="123" spans="1:29">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row>
    <row r="124" spans="1:29">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row>
    <row r="125" spans="1:29">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row>
    <row r="126" spans="1:29">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row>
    <row r="127" spans="1:29">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row>
    <row r="128" spans="1:29">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row>
    <row r="129" spans="1:29">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row>
    <row r="130" spans="1:29">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row>
    <row r="131" spans="1:29">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row>
    <row r="132" spans="1:29">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row>
    <row r="133" spans="1:29">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row>
    <row r="134" spans="1:29">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row>
    <row r="135" spans="1:29">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row>
    <row r="136" spans="1:29">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row>
    <row r="137" spans="1:29">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row>
    <row r="138" spans="1:29">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row>
    <row r="139" spans="1:29">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row>
    <row r="140" spans="1:29">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row>
    <row r="141" spans="1:29">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row>
    <row r="142" spans="1:29">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row>
    <row r="143" spans="1:29">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row>
    <row r="144" spans="1:29">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row>
    <row r="145" spans="1:29">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row>
    <row r="146" spans="1:29">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row>
    <row r="147" spans="1:29">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row>
    <row r="148" spans="1:29">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row>
    <row r="149" spans="1:29">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row>
    <row r="150" spans="1:29">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row>
    <row r="151" spans="1:29">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row>
    <row r="152" spans="1:29">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row>
  </sheetData>
  <sheetProtection algorithmName="SHA-512" hashValue="xkALVMEoFc7Yb+jvHcewknvD6NHucT4DXQbEbbWsjmo5KhXyP5ZGHMYooSqWOlP+CAKbwUVlcjHXIfRX58QX7g==" saltValue="TLncNLUjho9qGO0LV8GPQg==" spinCount="100000" sheet="1" objects="1" scenarios="1"/>
  <mergeCells count="4">
    <mergeCell ref="D14:D16"/>
    <mergeCell ref="D8:D10"/>
    <mergeCell ref="H8:H9"/>
    <mergeCell ref="K24:K25"/>
  </mergeCells>
  <conditionalFormatting sqref="C6 H6 C11:H11">
    <cfRule type="expression" dxfId="13" priority="1">
      <formula>stageno=5</formula>
    </cfRule>
  </conditionalFormatting>
  <dataValidations count="2">
    <dataValidation type="list" allowBlank="1" showInputMessage="1" showErrorMessage="1" promptTitle="Manual Override" prompt="Select whether to allow model to calculate or to manually override" sqref="Q17 C11 C17 Q11" xr:uid="{01C2D1AA-6E1E-4617-BF86-26DDCDC93FCC}">
      <formula1>Manual_override</formula1>
    </dataValidation>
    <dataValidation type="whole" allowBlank="1" showInputMessage="1" showErrorMessage="1" prompt="Time must be between 0 and 365 days" sqref="F11" xr:uid="{15706CF6-98D8-4B68-BDA6-9A164B0A575E}">
      <formula1>0</formula1>
      <formula2>365</formula2>
    </dataValidation>
  </dataValidations>
  <hyperlinks>
    <hyperlink ref="J1" location="Guide" display="Guide" xr:uid="{210E774F-3E89-467F-865C-9884CA42D747}"/>
    <hyperlink ref="J2" location="Input" display="Input" xr:uid="{D3C8F338-048B-47EB-8B22-882906B73B83}"/>
  </hyperlinks>
  <pageMargins left="0.7" right="0.7" top="0.75" bottom="0.75" header="0.3" footer="0.3"/>
  <pageSetup paperSize="9" scale="41" orientation="portrait" r:id="rId1"/>
  <headerFooter>
    <oddFooter>&amp;LNova Scotia Exploration Economics Model&amp;Rwww.indeva.com</oddFooter>
  </headerFooter>
  <extLst>
    <ext xmlns:x14="http://schemas.microsoft.com/office/spreadsheetml/2009/9/main" uri="{78C0D931-6437-407d-A8EE-F0AAD7539E65}">
      <x14:conditionalFormattings>
        <x14:conditionalFormatting xmlns:xm="http://schemas.microsoft.com/office/excel/2006/main">
          <x14:cfRule type="expression" priority="5" id="{78A0AA30-0BE3-405E-979C-C4DAEE9DE8A1}">
            <xm:f>$C$11=Lists!$A$37</xm:f>
            <x14:dxf>
              <font>
                <color theme="2"/>
              </font>
              <fill>
                <patternFill>
                  <bgColor theme="2"/>
                </patternFill>
              </fill>
            </x14:dxf>
          </x14:cfRule>
          <xm:sqref>C6 H6 D11:H11</xm:sqref>
        </x14:conditionalFormatting>
        <x14:conditionalFormatting xmlns:xm="http://schemas.microsoft.com/office/excel/2006/main">
          <x14:cfRule type="expression" priority="4" id="{45DE7889-0FA2-4267-BB13-8AFBAB12964C}">
            <xm:f>$C$17=Lists!$A$37</xm:f>
            <x14:dxf>
              <font>
                <color theme="2"/>
              </font>
              <fill>
                <patternFill>
                  <bgColor theme="2"/>
                </patternFill>
              </fill>
            </x14:dxf>
          </x14:cfRule>
          <xm:sqref>D17:E17 C19 F19 D27:P68</xm:sqref>
        </x14:conditionalFormatting>
        <x14:conditionalFormatting xmlns:xm="http://schemas.microsoft.com/office/excel/2006/main">
          <x14:cfRule type="expression" priority="2" id="{45A30B9A-5E8E-4570-899B-6C50B2BCE93D}">
            <xm:f>$Q$11=Lists!$A$37</xm:f>
            <x14:dxf>
              <font>
                <color theme="2"/>
              </font>
              <fill>
                <patternFill>
                  <bgColor theme="2"/>
                </patternFill>
              </fill>
            </x14:dxf>
          </x14:cfRule>
          <xm:sqref>Q12:Q14</xm:sqref>
        </x14:conditionalFormatting>
        <x14:conditionalFormatting xmlns:xm="http://schemas.microsoft.com/office/excel/2006/main">
          <x14:cfRule type="expression" priority="3" id="{352E07D1-D26B-4A95-A923-ADAD4DB65C8A}">
            <xm:f>$Q$17=Lists!$A$37</xm:f>
            <x14:dxf>
              <font>
                <color theme="2"/>
              </font>
              <fill>
                <patternFill>
                  <bgColor theme="2"/>
                </patternFill>
              </fill>
            </x14:dxf>
          </x14:cfRule>
          <xm:sqref>Q18:Q19 Q27:Q68</xm:sqref>
        </x14:conditionalFormatting>
      </x14:conditionalFormattings>
    </ext>
    <ext xmlns:x14="http://schemas.microsoft.com/office/spreadsheetml/2009/9/main" uri="{CCE6A557-97BC-4b89-ADB6-D9C93CAAB3DF}">
      <x14:dataValidations xmlns:xm="http://schemas.microsoft.com/office/excel/2006/main" count="1">
        <x14:dataValidation type="whole" allowBlank="1" showInputMessage="1" showErrorMessage="1" error="Base year must be between start year of economics and current year" prompt="Base year must be between start year of economics and current year" xr:uid="{4E858F41-2A52-4C95-AB8B-7D7618384E8F}">
          <x14:formula1>
            <xm:f>'Economic Assumptions'!$A$12</xm:f>
          </x14:formula1>
          <x14:formula2>
            <xm:f>'Selected Economics'!$A$11</xm:f>
          </x14:formula2>
          <xm:sqref>C6 C19 Q12 Q18</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0A0B3B-57AB-4D6F-A2EC-BDA20FF737C9}">
  <sheetPr codeName="Sheet38">
    <tabColor theme="9" tint="-0.249977111117893"/>
  </sheetPr>
  <dimension ref="A1:BG88"/>
  <sheetViews>
    <sheetView showGridLines="0" showRowColHeaders="0" zoomScale="70" zoomScaleNormal="70" workbookViewId="0"/>
  </sheetViews>
  <sheetFormatPr defaultRowHeight="15"/>
  <cols>
    <col min="3" max="3" width="27.42578125" customWidth="1"/>
    <col min="4" max="4" width="24" customWidth="1"/>
    <col min="5" max="5" width="35" customWidth="1"/>
    <col min="6" max="6" width="18.5703125" customWidth="1"/>
    <col min="7" max="7" width="20.7109375" customWidth="1"/>
  </cols>
  <sheetData>
    <row r="1" spans="1:59" ht="34.15" customHeight="1">
      <c r="A1" s="14"/>
      <c r="B1" s="9"/>
      <c r="C1" s="638" t="s">
        <v>997</v>
      </c>
      <c r="D1" s="639"/>
      <c r="E1" s="639"/>
      <c r="F1" s="640"/>
      <c r="G1" s="9"/>
      <c r="H1" s="9"/>
      <c r="I1" s="9"/>
      <c r="J1" s="9"/>
      <c r="K1" s="9"/>
      <c r="L1" s="9"/>
      <c r="M1" s="9"/>
      <c r="N1" s="9"/>
      <c r="O1" s="9"/>
      <c r="P1" s="9"/>
      <c r="Q1" s="9"/>
      <c r="R1" s="9"/>
      <c r="S1" s="9"/>
      <c r="T1" s="9"/>
      <c r="U1" s="9"/>
      <c r="V1" s="9"/>
      <c r="W1" s="9"/>
      <c r="X1" s="9"/>
      <c r="Y1" s="9"/>
      <c r="Z1" s="9"/>
      <c r="AA1" s="9"/>
      <c r="AB1" s="9"/>
      <c r="AC1" s="9"/>
      <c r="AD1" s="9"/>
      <c r="AE1" s="9"/>
      <c r="AF1" s="9"/>
      <c r="AG1" s="9"/>
      <c r="AH1" s="9"/>
      <c r="AI1" s="9"/>
      <c r="AJ1" s="9"/>
      <c r="AK1" s="9"/>
      <c r="AL1" s="9"/>
      <c r="AM1" s="9"/>
      <c r="AN1" s="9"/>
      <c r="AO1" s="9"/>
      <c r="AP1" s="9"/>
      <c r="AQ1" s="9"/>
      <c r="AR1" s="9"/>
      <c r="AS1" s="9"/>
      <c r="AT1" s="9"/>
      <c r="AU1" s="9"/>
      <c r="AV1" s="9"/>
      <c r="AW1" s="9"/>
      <c r="AX1" s="9"/>
      <c r="AY1" s="9"/>
      <c r="AZ1" s="9"/>
      <c r="BA1" s="9"/>
      <c r="BB1" s="9"/>
      <c r="BC1" s="9"/>
      <c r="BD1" s="9"/>
      <c r="BE1" s="9"/>
      <c r="BF1" s="9"/>
      <c r="BG1" s="9"/>
    </row>
    <row r="2" spans="1:59" ht="16.5" customHeight="1">
      <c r="A2" s="14"/>
      <c r="B2" s="9"/>
      <c r="C2" s="507"/>
      <c r="D2" s="508"/>
      <c r="E2" s="508"/>
      <c r="F2" s="50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row>
    <row r="3" spans="1:59" ht="40.9" customHeight="1">
      <c r="A3" s="14"/>
      <c r="B3" s="9"/>
      <c r="C3" s="641" t="s">
        <v>998</v>
      </c>
      <c r="D3" s="642"/>
      <c r="E3" s="642"/>
      <c r="F3" s="643"/>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9"/>
      <c r="AU3" s="9"/>
      <c r="AV3" s="9"/>
      <c r="AW3" s="9"/>
      <c r="AX3" s="9"/>
      <c r="AY3" s="9"/>
      <c r="AZ3" s="9"/>
      <c r="BA3" s="9"/>
      <c r="BB3" s="9"/>
      <c r="BC3" s="9"/>
      <c r="BD3" s="9"/>
      <c r="BE3" s="9"/>
      <c r="BF3" s="9"/>
      <c r="BG3" s="9"/>
    </row>
    <row r="4" spans="1:59">
      <c r="A4" s="14"/>
      <c r="B4" s="9"/>
      <c r="C4" s="14"/>
      <c r="D4" s="14"/>
      <c r="E4" s="14"/>
      <c r="F4" s="14"/>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9"/>
      <c r="AU4" s="9"/>
      <c r="AV4" s="9"/>
      <c r="AW4" s="9"/>
      <c r="AX4" s="9"/>
      <c r="AY4" s="9"/>
      <c r="AZ4" s="9"/>
      <c r="BA4" s="9"/>
      <c r="BB4" s="9"/>
      <c r="BC4" s="9"/>
      <c r="BD4" s="9"/>
      <c r="BE4" s="9"/>
      <c r="BF4" s="9"/>
      <c r="BG4" s="9"/>
    </row>
    <row r="5" spans="1:59" ht="18.75">
      <c r="A5" s="93" t="s">
        <v>756</v>
      </c>
      <c r="B5" s="9"/>
      <c r="C5" s="220" t="s">
        <v>984</v>
      </c>
      <c r="D5" s="220"/>
      <c r="E5" s="14"/>
      <c r="F5" s="14"/>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9"/>
      <c r="AU5" s="9"/>
      <c r="AV5" s="9"/>
      <c r="AW5" s="9"/>
      <c r="AX5" s="9"/>
      <c r="AY5" s="9"/>
      <c r="AZ5" s="9"/>
      <c r="BA5" s="9"/>
      <c r="BB5" s="9"/>
      <c r="BC5" s="9"/>
      <c r="BD5" s="9"/>
      <c r="BE5" s="9"/>
      <c r="BF5" s="9"/>
      <c r="BG5" s="9"/>
    </row>
    <row r="6" spans="1:59" ht="18.75">
      <c r="A6" s="93" t="s">
        <v>139</v>
      </c>
      <c r="B6" s="9"/>
      <c r="C6" s="14"/>
      <c r="D6" s="14"/>
      <c r="E6" s="217" t="s">
        <v>985</v>
      </c>
      <c r="F6" s="14"/>
      <c r="G6" s="9"/>
      <c r="H6" s="9"/>
      <c r="I6" s="9"/>
      <c r="J6" s="9"/>
      <c r="K6" s="9"/>
      <c r="L6" s="9"/>
      <c r="M6" s="9"/>
      <c r="N6" s="9"/>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row>
    <row r="7" spans="1:59">
      <c r="A7" s="14"/>
      <c r="B7" s="9"/>
      <c r="C7" s="396" t="s">
        <v>78</v>
      </c>
      <c r="D7" s="510" t="s">
        <v>138</v>
      </c>
      <c r="E7" s="510"/>
      <c r="F7" s="14"/>
      <c r="G7" s="9"/>
      <c r="H7" s="9"/>
      <c r="I7" s="9"/>
      <c r="J7" s="9"/>
      <c r="K7" s="9"/>
      <c r="L7" s="9"/>
      <c r="M7" s="9"/>
      <c r="N7" s="9"/>
      <c r="O7" s="9"/>
      <c r="P7" s="9"/>
      <c r="Q7" s="9"/>
      <c r="R7" s="9"/>
      <c r="S7" s="9"/>
      <c r="T7" s="9"/>
      <c r="U7" s="9"/>
      <c r="V7" s="9"/>
      <c r="W7" s="9"/>
      <c r="X7" s="9"/>
      <c r="Y7" s="9"/>
      <c r="Z7" s="9"/>
      <c r="AA7" s="9"/>
      <c r="AB7" s="9"/>
      <c r="AC7" s="9"/>
      <c r="AD7" s="9"/>
      <c r="AE7" s="9"/>
      <c r="AF7" s="9"/>
      <c r="AG7" s="9"/>
      <c r="AH7" s="9"/>
      <c r="AI7" s="9"/>
      <c r="AJ7" s="9"/>
      <c r="AK7" s="9"/>
      <c r="AL7" s="9"/>
      <c r="AM7" s="9"/>
      <c r="AN7" s="9"/>
      <c r="AO7" s="9"/>
      <c r="AP7" s="9"/>
      <c r="AQ7" s="9"/>
      <c r="AR7" s="9"/>
      <c r="AS7" s="9"/>
      <c r="AT7" s="9"/>
      <c r="AU7" s="9"/>
      <c r="AV7" s="9"/>
      <c r="AW7" s="9"/>
      <c r="AX7" s="9"/>
      <c r="AY7" s="9"/>
      <c r="AZ7" s="9"/>
      <c r="BA7" s="9"/>
      <c r="BB7" s="9"/>
      <c r="BC7" s="9"/>
      <c r="BD7" s="9"/>
      <c r="BE7" s="9"/>
      <c r="BF7" s="9"/>
      <c r="BG7" s="9"/>
    </row>
    <row r="8" spans="1:59">
      <c r="A8" s="14"/>
      <c r="B8" s="9"/>
      <c r="C8" s="396" t="s">
        <v>86</v>
      </c>
      <c r="D8" s="510" t="s">
        <v>138</v>
      </c>
      <c r="E8" s="510"/>
      <c r="F8" s="14"/>
      <c r="G8" s="9"/>
      <c r="H8" s="9"/>
      <c r="I8" s="9"/>
      <c r="J8" s="9"/>
      <c r="K8" s="9"/>
      <c r="L8" s="9"/>
      <c r="M8" s="9"/>
      <c r="N8" s="9"/>
      <c r="O8" s="9"/>
      <c r="P8" s="9"/>
      <c r="Q8" s="9"/>
      <c r="R8" s="9"/>
      <c r="S8" s="9"/>
      <c r="T8" s="9"/>
      <c r="U8" s="9"/>
      <c r="V8" s="9"/>
      <c r="W8" s="9"/>
      <c r="X8" s="9"/>
      <c r="Y8" s="9"/>
      <c r="Z8" s="9"/>
      <c r="AA8" s="9"/>
      <c r="AB8" s="9"/>
      <c r="AC8" s="9"/>
      <c r="AD8" s="9"/>
      <c r="AE8" s="9"/>
      <c r="AF8" s="9"/>
      <c r="AG8" s="9"/>
      <c r="AH8" s="9"/>
      <c r="AI8" s="9"/>
      <c r="AJ8" s="9"/>
      <c r="AK8" s="9"/>
      <c r="AL8" s="9"/>
      <c r="AM8" s="9"/>
      <c r="AN8" s="9"/>
      <c r="AO8" s="9"/>
      <c r="AP8" s="9"/>
      <c r="AQ8" s="9"/>
      <c r="AR8" s="9"/>
      <c r="AS8" s="9"/>
      <c r="AT8" s="9"/>
      <c r="AU8" s="9"/>
      <c r="AV8" s="9"/>
      <c r="AW8" s="9"/>
      <c r="AX8" s="9"/>
      <c r="AY8" s="9"/>
      <c r="AZ8" s="9"/>
      <c r="BA8" s="9"/>
      <c r="BB8" s="9"/>
      <c r="BC8" s="9"/>
      <c r="BD8" s="9"/>
      <c r="BE8" s="9"/>
      <c r="BF8" s="9"/>
      <c r="BG8" s="9"/>
    </row>
    <row r="9" spans="1:59">
      <c r="A9" s="14"/>
      <c r="B9" s="9"/>
      <c r="C9" s="396" t="s">
        <v>87</v>
      </c>
      <c r="D9" s="510" t="s">
        <v>138</v>
      </c>
      <c r="E9" s="510"/>
      <c r="F9" s="14"/>
      <c r="G9" s="9"/>
      <c r="H9" s="9"/>
      <c r="I9" s="9"/>
      <c r="J9" s="9"/>
      <c r="K9" s="9"/>
      <c r="L9" s="9"/>
      <c r="M9" s="9"/>
      <c r="N9" s="9"/>
      <c r="O9" s="9"/>
      <c r="P9" s="9"/>
      <c r="Q9" s="9"/>
      <c r="R9" s="9"/>
      <c r="S9" s="9"/>
      <c r="T9" s="9"/>
      <c r="U9" s="9"/>
      <c r="V9" s="9"/>
      <c r="W9" s="9"/>
      <c r="X9" s="9"/>
      <c r="Y9" s="9"/>
      <c r="Z9" s="9"/>
      <c r="AA9" s="9"/>
      <c r="AB9" s="9"/>
      <c r="AC9" s="9"/>
      <c r="AD9" s="9"/>
      <c r="AE9" s="9"/>
      <c r="AF9" s="9"/>
      <c r="AG9" s="9"/>
      <c r="AH9" s="9"/>
      <c r="AI9" s="9"/>
      <c r="AJ9" s="9"/>
      <c r="AK9" s="9"/>
      <c r="AL9" s="9"/>
      <c r="AM9" s="9"/>
      <c r="AN9" s="9"/>
      <c r="AO9" s="9"/>
      <c r="AP9" s="9"/>
      <c r="AQ9" s="9"/>
      <c r="AR9" s="9"/>
      <c r="AS9" s="9"/>
      <c r="AT9" s="9"/>
      <c r="AU9" s="9"/>
      <c r="AV9" s="9"/>
      <c r="AW9" s="9"/>
      <c r="AX9" s="9"/>
      <c r="AY9" s="9"/>
      <c r="AZ9" s="9"/>
      <c r="BA9" s="9"/>
      <c r="BB9" s="9"/>
      <c r="BC9" s="9"/>
      <c r="BD9" s="9"/>
      <c r="BE9" s="9"/>
      <c r="BF9" s="9"/>
      <c r="BG9" s="9"/>
    </row>
    <row r="10" spans="1:59">
      <c r="A10" s="14"/>
      <c r="B10" s="9"/>
      <c r="C10" s="396" t="s">
        <v>88</v>
      </c>
      <c r="D10" s="510" t="s">
        <v>138</v>
      </c>
      <c r="E10" s="510"/>
      <c r="F10" s="14"/>
      <c r="G10" s="9"/>
      <c r="H10" s="9"/>
      <c r="I10" s="9"/>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c r="AK10" s="9"/>
      <c r="AL10" s="9"/>
      <c r="AM10" s="9"/>
      <c r="AN10" s="9"/>
      <c r="AO10" s="9"/>
      <c r="AP10" s="9"/>
      <c r="AQ10" s="9"/>
      <c r="AR10" s="9"/>
      <c r="AS10" s="9"/>
      <c r="AT10" s="9"/>
      <c r="AU10" s="9"/>
      <c r="AV10" s="9"/>
      <c r="AW10" s="9"/>
      <c r="AX10" s="9"/>
      <c r="AY10" s="9"/>
      <c r="AZ10" s="9"/>
      <c r="BA10" s="9"/>
      <c r="BB10" s="9"/>
      <c r="BC10" s="9"/>
      <c r="BD10" s="9"/>
      <c r="BE10" s="9"/>
      <c r="BF10" s="9"/>
      <c r="BG10" s="9"/>
    </row>
    <row r="11" spans="1:59">
      <c r="A11" s="14"/>
      <c r="B11" s="9"/>
      <c r="C11" s="220" t="s">
        <v>986</v>
      </c>
      <c r="D11" s="7" t="s">
        <v>138</v>
      </c>
      <c r="E11" s="7">
        <v>50</v>
      </c>
      <c r="F11" s="9"/>
      <c r="G11" s="9"/>
      <c r="H11" s="9"/>
      <c r="I11" s="9"/>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c r="AK11" s="9"/>
      <c r="AL11" s="9"/>
      <c r="AM11" s="9"/>
      <c r="AN11" s="9"/>
      <c r="AO11" s="9"/>
      <c r="AP11" s="9"/>
      <c r="AQ11" s="9"/>
      <c r="AR11" s="9"/>
      <c r="AS11" s="9"/>
      <c r="AT11" s="9"/>
      <c r="AU11" s="9"/>
      <c r="AV11" s="9"/>
      <c r="AW11" s="9"/>
      <c r="AX11" s="9"/>
      <c r="AY11" s="9"/>
      <c r="AZ11" s="9"/>
      <c r="BA11" s="9"/>
      <c r="BB11" s="9"/>
      <c r="BC11" s="9"/>
      <c r="BD11" s="9"/>
      <c r="BE11" s="9"/>
      <c r="BF11" s="9"/>
      <c r="BG11" s="9"/>
    </row>
    <row r="12" spans="1:59">
      <c r="A12" s="14"/>
      <c r="B12" s="9"/>
      <c r="C12" s="220" t="s">
        <v>171</v>
      </c>
      <c r="D12" s="7" t="s">
        <v>138</v>
      </c>
      <c r="E12" s="7">
        <v>0</v>
      </c>
      <c r="F12" s="9"/>
      <c r="G12" s="9"/>
      <c r="H12" s="9"/>
      <c r="I12" s="9"/>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row>
    <row r="13" spans="1:59">
      <c r="A13" s="14"/>
      <c r="B13" s="9"/>
      <c r="C13" s="220" t="s">
        <v>172</v>
      </c>
      <c r="D13" s="7" t="s">
        <v>138</v>
      </c>
      <c r="E13" s="7">
        <v>0</v>
      </c>
      <c r="F13" s="9"/>
      <c r="G13" s="9"/>
      <c r="H13" s="9"/>
      <c r="I13" s="9"/>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c r="AK13" s="9"/>
      <c r="AL13" s="9"/>
      <c r="AM13" s="9"/>
      <c r="AN13" s="9"/>
      <c r="AO13" s="9"/>
      <c r="AP13" s="9"/>
      <c r="AQ13" s="9"/>
      <c r="AR13" s="9"/>
      <c r="AS13" s="9"/>
      <c r="AT13" s="9"/>
      <c r="AU13" s="9"/>
      <c r="AV13" s="9"/>
      <c r="AW13" s="9"/>
      <c r="AX13" s="9"/>
      <c r="AY13" s="9"/>
      <c r="AZ13" s="9"/>
      <c r="BA13" s="9"/>
      <c r="BB13" s="9"/>
      <c r="BC13" s="9"/>
      <c r="BD13" s="9"/>
      <c r="BE13" s="9"/>
      <c r="BF13" s="9"/>
      <c r="BG13" s="9"/>
    </row>
    <row r="14" spans="1:59">
      <c r="A14" s="14"/>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c r="AK14" s="9"/>
      <c r="AL14" s="9"/>
      <c r="AM14" s="9"/>
      <c r="AN14" s="9"/>
      <c r="AO14" s="9"/>
      <c r="AP14" s="9"/>
      <c r="AQ14" s="9"/>
      <c r="AR14" s="9"/>
      <c r="AS14" s="9"/>
      <c r="AT14" s="9"/>
      <c r="AU14" s="9"/>
      <c r="AV14" s="9"/>
      <c r="AW14" s="9"/>
      <c r="AX14" s="9"/>
      <c r="AY14" s="9"/>
      <c r="AZ14" s="9"/>
      <c r="BA14" s="9"/>
      <c r="BB14" s="9"/>
      <c r="BC14" s="9"/>
      <c r="BD14" s="9"/>
      <c r="BE14" s="9"/>
      <c r="BF14" s="9"/>
      <c r="BG14" s="9"/>
    </row>
    <row r="15" spans="1:59">
      <c r="A15" s="14"/>
      <c r="B15" s="9"/>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row>
    <row r="16" spans="1:59">
      <c r="A16" s="9"/>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c r="AK16" s="9"/>
      <c r="AL16" s="9"/>
      <c r="AM16" s="9"/>
      <c r="AN16" s="9"/>
      <c r="AO16" s="9"/>
      <c r="AP16" s="9"/>
      <c r="AQ16" s="9"/>
      <c r="AR16" s="9"/>
      <c r="AS16" s="9"/>
      <c r="AT16" s="9"/>
      <c r="AU16" s="9"/>
      <c r="AV16" s="9"/>
      <c r="AW16" s="9"/>
      <c r="AX16" s="9"/>
      <c r="AY16" s="9"/>
      <c r="AZ16" s="9"/>
      <c r="BA16" s="9"/>
      <c r="BB16" s="9"/>
      <c r="BC16" s="9"/>
      <c r="BD16" s="9"/>
      <c r="BE16" s="9"/>
      <c r="BF16" s="9"/>
      <c r="BG16" s="9"/>
    </row>
    <row r="17" spans="1:59">
      <c r="A17" s="9"/>
      <c r="B17" s="9"/>
      <c r="C17" s="9"/>
      <c r="D17" s="9"/>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row>
    <row r="18" spans="1:59">
      <c r="A18" s="9"/>
      <c r="B18" s="9"/>
      <c r="C18" s="9"/>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c r="AK18" s="9"/>
      <c r="AL18" s="9"/>
      <c r="AM18" s="9"/>
      <c r="AN18" s="9"/>
      <c r="AO18" s="9"/>
      <c r="AP18" s="9"/>
      <c r="AQ18" s="9"/>
      <c r="AR18" s="9"/>
      <c r="AS18" s="9"/>
      <c r="AT18" s="9"/>
      <c r="AU18" s="9"/>
      <c r="AV18" s="9"/>
      <c r="AW18" s="9"/>
      <c r="AX18" s="9"/>
      <c r="AY18" s="9"/>
      <c r="AZ18" s="9"/>
      <c r="BA18" s="9"/>
      <c r="BB18" s="9"/>
      <c r="BC18" s="9"/>
      <c r="BD18" s="9"/>
      <c r="BE18" s="9"/>
      <c r="BF18" s="9"/>
      <c r="BG18" s="9"/>
    </row>
    <row r="19" spans="1:59">
      <c r="A19" s="9"/>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9"/>
      <c r="AN19" s="9"/>
      <c r="AO19" s="9"/>
      <c r="AP19" s="9"/>
      <c r="AQ19" s="9"/>
      <c r="AR19" s="9"/>
      <c r="AS19" s="9"/>
      <c r="AT19" s="9"/>
      <c r="AU19" s="9"/>
      <c r="AV19" s="9"/>
      <c r="AW19" s="9"/>
      <c r="AX19" s="9"/>
      <c r="AY19" s="9"/>
      <c r="AZ19" s="9"/>
      <c r="BA19" s="9"/>
      <c r="BB19" s="9"/>
      <c r="BC19" s="9"/>
      <c r="BD19" s="9"/>
      <c r="BE19" s="9"/>
      <c r="BF19" s="9"/>
      <c r="BG19" s="9"/>
    </row>
    <row r="20" spans="1:59">
      <c r="A20" s="9"/>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c r="AK20" s="9"/>
      <c r="AL20" s="9"/>
      <c r="AM20" s="9"/>
      <c r="AN20" s="9"/>
      <c r="AO20" s="9"/>
      <c r="AP20" s="9"/>
      <c r="AQ20" s="9"/>
      <c r="AR20" s="9"/>
      <c r="AS20" s="9"/>
      <c r="AT20" s="9"/>
      <c r="AU20" s="9"/>
      <c r="AV20" s="9"/>
      <c r="AW20" s="9"/>
      <c r="AX20" s="9"/>
      <c r="AY20" s="9"/>
      <c r="AZ20" s="9"/>
      <c r="BA20" s="9"/>
      <c r="BB20" s="9"/>
      <c r="BC20" s="9"/>
      <c r="BD20" s="9"/>
      <c r="BE20" s="9"/>
      <c r="BF20" s="9"/>
      <c r="BG20" s="9"/>
    </row>
    <row r="21" spans="1:59">
      <c r="A21" s="9"/>
      <c r="B21" s="9"/>
      <c r="C21" s="9"/>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c r="AK21" s="9"/>
      <c r="AL21" s="9"/>
      <c r="AM21" s="9"/>
      <c r="AN21" s="9"/>
      <c r="AO21" s="9"/>
      <c r="AP21" s="9"/>
      <c r="AQ21" s="9"/>
      <c r="AR21" s="9"/>
      <c r="AS21" s="9"/>
      <c r="AT21" s="9"/>
      <c r="AU21" s="9"/>
      <c r="AV21" s="9"/>
      <c r="AW21" s="9"/>
      <c r="AX21" s="9"/>
      <c r="AY21" s="9"/>
      <c r="AZ21" s="9"/>
      <c r="BA21" s="9"/>
      <c r="BB21" s="9"/>
      <c r="BC21" s="9"/>
      <c r="BD21" s="9"/>
      <c r="BE21" s="9"/>
      <c r="BF21" s="9"/>
      <c r="BG21" s="9"/>
    </row>
    <row r="22" spans="1:59">
      <c r="A22" s="9"/>
      <c r="B22" s="9"/>
      <c r="C22" s="9"/>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c r="AK22" s="9"/>
      <c r="AL22" s="9"/>
      <c r="AM22" s="9"/>
      <c r="AN22" s="9"/>
      <c r="AO22" s="9"/>
      <c r="AP22" s="9"/>
      <c r="AQ22" s="9"/>
      <c r="AR22" s="9"/>
      <c r="AS22" s="9"/>
      <c r="AT22" s="9"/>
      <c r="AU22" s="9"/>
      <c r="AV22" s="9"/>
      <c r="AW22" s="9"/>
      <c r="AX22" s="9"/>
      <c r="AY22" s="9"/>
      <c r="AZ22" s="9"/>
      <c r="BA22" s="9"/>
      <c r="BB22" s="9"/>
      <c r="BC22" s="9"/>
      <c r="BD22" s="9"/>
      <c r="BE22" s="9"/>
      <c r="BF22" s="9"/>
      <c r="BG22" s="9"/>
    </row>
    <row r="23" spans="1:59">
      <c r="A23" s="9"/>
      <c r="B23" s="9"/>
      <c r="C23" s="9"/>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c r="AK23" s="9"/>
      <c r="AL23" s="9"/>
      <c r="AM23" s="9"/>
      <c r="AN23" s="9"/>
      <c r="AO23" s="9"/>
      <c r="AP23" s="9"/>
      <c r="AQ23" s="9"/>
      <c r="AR23" s="9"/>
      <c r="AS23" s="9"/>
      <c r="AT23" s="9"/>
      <c r="AU23" s="9"/>
      <c r="AV23" s="9"/>
      <c r="AW23" s="9"/>
      <c r="AX23" s="9"/>
      <c r="AY23" s="9"/>
      <c r="AZ23" s="9"/>
      <c r="BA23" s="9"/>
      <c r="BB23" s="9"/>
      <c r="BC23" s="9"/>
      <c r="BD23" s="9"/>
      <c r="BE23" s="9"/>
      <c r="BF23" s="9"/>
      <c r="BG23" s="9"/>
    </row>
    <row r="24" spans="1:59">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c r="AK24" s="9"/>
      <c r="AL24" s="9"/>
      <c r="AM24" s="9"/>
      <c r="AN24" s="9"/>
      <c r="AO24" s="9"/>
      <c r="AP24" s="9"/>
      <c r="AQ24" s="9"/>
      <c r="AR24" s="9"/>
      <c r="AS24" s="9"/>
      <c r="AT24" s="9"/>
      <c r="AU24" s="9"/>
      <c r="AV24" s="9"/>
      <c r="AW24" s="9"/>
      <c r="AX24" s="9"/>
      <c r="AY24" s="9"/>
      <c r="AZ24" s="9"/>
      <c r="BA24" s="9"/>
      <c r="BB24" s="9"/>
      <c r="BC24" s="9"/>
      <c r="BD24" s="9"/>
      <c r="BE24" s="9"/>
      <c r="BF24" s="9"/>
      <c r="BG24" s="9"/>
    </row>
    <row r="25" spans="1:59">
      <c r="A25" s="9"/>
      <c r="B25" s="9"/>
      <c r="C25" s="9"/>
      <c r="D25" s="9"/>
      <c r="E25" s="9"/>
      <c r="F25" s="9"/>
      <c r="G25" s="9"/>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c r="AK25" s="9"/>
      <c r="AL25" s="9"/>
      <c r="AM25" s="9"/>
      <c r="AN25" s="9"/>
      <c r="AO25" s="9"/>
      <c r="AP25" s="9"/>
      <c r="AQ25" s="9"/>
      <c r="AR25" s="9"/>
      <c r="AS25" s="9"/>
      <c r="AT25" s="9"/>
      <c r="AU25" s="9"/>
      <c r="AV25" s="9"/>
      <c r="AW25" s="9"/>
      <c r="AX25" s="9"/>
      <c r="AY25" s="9"/>
      <c r="AZ25" s="9"/>
      <c r="BA25" s="9"/>
      <c r="BB25" s="9"/>
      <c r="BC25" s="9"/>
      <c r="BD25" s="9"/>
      <c r="BE25" s="9"/>
      <c r="BF25" s="9"/>
      <c r="BG25" s="9"/>
    </row>
    <row r="26" spans="1:59">
      <c r="A26" s="9"/>
      <c r="B26" s="9"/>
      <c r="C26" s="9"/>
      <c r="D26" s="9"/>
      <c r="E26" s="9"/>
      <c r="F26" s="9"/>
      <c r="G26" s="9"/>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c r="AK26" s="9"/>
      <c r="AL26" s="9"/>
      <c r="AM26" s="9"/>
      <c r="AN26" s="9"/>
      <c r="AO26" s="9"/>
      <c r="AP26" s="9"/>
      <c r="AQ26" s="9"/>
      <c r="AR26" s="9"/>
      <c r="AS26" s="9"/>
      <c r="AT26" s="9"/>
      <c r="AU26" s="9"/>
      <c r="AV26" s="9"/>
      <c r="AW26" s="9"/>
      <c r="AX26" s="9"/>
      <c r="AY26" s="9"/>
      <c r="AZ26" s="9"/>
      <c r="BA26" s="9"/>
      <c r="BB26" s="9"/>
      <c r="BC26" s="9"/>
      <c r="BD26" s="9"/>
      <c r="BE26" s="9"/>
      <c r="BF26" s="9"/>
      <c r="BG26" s="9"/>
    </row>
    <row r="27" spans="1:59">
      <c r="A27" s="9"/>
      <c r="B27" s="9"/>
      <c r="C27" s="9"/>
      <c r="D27" s="9"/>
      <c r="E27" s="9"/>
      <c r="F27" s="9"/>
      <c r="G27" s="9"/>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c r="AK27" s="9"/>
      <c r="AL27" s="9"/>
      <c r="AM27" s="9"/>
      <c r="AN27" s="9"/>
      <c r="AO27" s="9"/>
      <c r="AP27" s="9"/>
      <c r="AQ27" s="9"/>
      <c r="AR27" s="9"/>
      <c r="AS27" s="9"/>
      <c r="AT27" s="9"/>
      <c r="AU27" s="9"/>
      <c r="AV27" s="9"/>
      <c r="AW27" s="9"/>
      <c r="AX27" s="9"/>
      <c r="AY27" s="9"/>
      <c r="AZ27" s="9"/>
      <c r="BA27" s="9"/>
      <c r="BB27" s="9"/>
      <c r="BC27" s="9"/>
      <c r="BD27" s="9"/>
      <c r="BE27" s="9"/>
      <c r="BF27" s="9"/>
      <c r="BG27" s="9"/>
    </row>
    <row r="28" spans="1:59">
      <c r="A28" s="9"/>
      <c r="B28" s="9"/>
      <c r="C28" s="9"/>
      <c r="D28" s="9"/>
      <c r="E28" s="9"/>
      <c r="F28" s="9"/>
      <c r="G28" s="9"/>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c r="AK28" s="9"/>
      <c r="AL28" s="9"/>
      <c r="AM28" s="9"/>
      <c r="AN28" s="9"/>
      <c r="AO28" s="9"/>
      <c r="AP28" s="9"/>
      <c r="AQ28" s="9"/>
      <c r="AR28" s="9"/>
      <c r="AS28" s="9"/>
      <c r="AT28" s="9"/>
      <c r="AU28" s="9"/>
      <c r="AV28" s="9"/>
      <c r="AW28" s="9"/>
      <c r="AX28" s="9"/>
      <c r="AY28" s="9"/>
      <c r="AZ28" s="9"/>
      <c r="BA28" s="9"/>
      <c r="BB28" s="9"/>
      <c r="BC28" s="9"/>
      <c r="BD28" s="9"/>
      <c r="BE28" s="9"/>
      <c r="BF28" s="9"/>
      <c r="BG28" s="9"/>
    </row>
    <row r="29" spans="1:59">
      <c r="A29" s="9"/>
      <c r="B29" s="9"/>
      <c r="C29" s="9"/>
      <c r="D29" s="9"/>
      <c r="E29" s="9"/>
      <c r="F29" s="9"/>
      <c r="G29" s="9"/>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c r="AK29" s="9"/>
      <c r="AL29" s="9"/>
      <c r="AM29" s="9"/>
      <c r="AN29" s="9"/>
      <c r="AO29" s="9"/>
      <c r="AP29" s="9"/>
      <c r="AQ29" s="9"/>
      <c r="AR29" s="9"/>
      <c r="AS29" s="9"/>
      <c r="AT29" s="9"/>
      <c r="AU29" s="9"/>
      <c r="AV29" s="9"/>
      <c r="AW29" s="9"/>
      <c r="AX29" s="9"/>
      <c r="AY29" s="9"/>
      <c r="AZ29" s="9"/>
      <c r="BA29" s="9"/>
      <c r="BB29" s="9"/>
      <c r="BC29" s="9"/>
      <c r="BD29" s="9"/>
      <c r="BE29" s="9"/>
      <c r="BF29" s="9"/>
      <c r="BG29" s="9"/>
    </row>
    <row r="30" spans="1:59">
      <c r="A30" s="9"/>
      <c r="B30" s="9"/>
      <c r="C30" s="9"/>
      <c r="D30" s="9"/>
      <c r="E30" s="9"/>
      <c r="F30" s="9"/>
      <c r="G30" s="9"/>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c r="AK30" s="9"/>
      <c r="AL30" s="9"/>
      <c r="AM30" s="9"/>
      <c r="AN30" s="9"/>
      <c r="AO30" s="9"/>
      <c r="AP30" s="9"/>
      <c r="AQ30" s="9"/>
      <c r="AR30" s="9"/>
      <c r="AS30" s="9"/>
      <c r="AT30" s="9"/>
      <c r="AU30" s="9"/>
      <c r="AV30" s="9"/>
      <c r="AW30" s="9"/>
      <c r="AX30" s="9"/>
      <c r="AY30" s="9"/>
      <c r="AZ30" s="9"/>
      <c r="BA30" s="9"/>
      <c r="BB30" s="9"/>
      <c r="BC30" s="9"/>
      <c r="BD30" s="9"/>
      <c r="BE30" s="9"/>
      <c r="BF30" s="9"/>
      <c r="BG30" s="9"/>
    </row>
    <row r="31" spans="1:59">
      <c r="A31" s="9"/>
      <c r="B31" s="9"/>
      <c r="C31" s="9"/>
      <c r="D31" s="9"/>
      <c r="E31" s="9"/>
      <c r="F31" s="9"/>
      <c r="G31" s="9"/>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c r="AK31" s="9"/>
      <c r="AL31" s="9"/>
      <c r="AM31" s="9"/>
      <c r="AN31" s="9"/>
      <c r="AO31" s="9"/>
      <c r="AP31" s="9"/>
      <c r="AQ31" s="9"/>
      <c r="AR31" s="9"/>
      <c r="AS31" s="9"/>
      <c r="AT31" s="9"/>
      <c r="AU31" s="9"/>
      <c r="AV31" s="9"/>
      <c r="AW31" s="9"/>
      <c r="AX31" s="9"/>
      <c r="AY31" s="9"/>
      <c r="AZ31" s="9"/>
      <c r="BA31" s="9"/>
      <c r="BB31" s="9"/>
      <c r="BC31" s="9"/>
      <c r="BD31" s="9"/>
      <c r="BE31" s="9"/>
      <c r="BF31" s="9"/>
      <c r="BG31" s="9"/>
    </row>
    <row r="32" spans="1:59">
      <c r="A32" s="9"/>
      <c r="B32" s="9"/>
      <c r="C32" s="9"/>
      <c r="D32" s="9"/>
      <c r="E32" s="9"/>
      <c r="F32" s="9"/>
      <c r="G32" s="9"/>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c r="AK32" s="9"/>
      <c r="AL32" s="9"/>
      <c r="AM32" s="9"/>
      <c r="AN32" s="9"/>
      <c r="AO32" s="9"/>
      <c r="AP32" s="9"/>
      <c r="AQ32" s="9"/>
      <c r="AR32" s="9"/>
      <c r="AS32" s="9"/>
      <c r="AT32" s="9"/>
      <c r="AU32" s="9"/>
      <c r="AV32" s="9"/>
      <c r="AW32" s="9"/>
      <c r="AX32" s="9"/>
      <c r="AY32" s="9"/>
      <c r="AZ32" s="9"/>
      <c r="BA32" s="9"/>
      <c r="BB32" s="9"/>
      <c r="BC32" s="9"/>
      <c r="BD32" s="9"/>
      <c r="BE32" s="9"/>
      <c r="BF32" s="9"/>
      <c r="BG32" s="9"/>
    </row>
    <row r="33" spans="1:59">
      <c r="A33" s="9"/>
      <c r="B33" s="9"/>
      <c r="C33" s="9"/>
      <c r="D33" s="9"/>
      <c r="E33" s="9"/>
      <c r="F33" s="9"/>
      <c r="G33" s="9"/>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c r="AK33" s="9"/>
      <c r="AL33" s="9"/>
      <c r="AM33" s="9"/>
      <c r="AN33" s="9"/>
      <c r="AO33" s="9"/>
      <c r="AP33" s="9"/>
      <c r="AQ33" s="9"/>
      <c r="AR33" s="9"/>
      <c r="AS33" s="9"/>
      <c r="AT33" s="9"/>
      <c r="AU33" s="9"/>
      <c r="AV33" s="9"/>
      <c r="AW33" s="9"/>
      <c r="AX33" s="9"/>
      <c r="AY33" s="9"/>
      <c r="AZ33" s="9"/>
      <c r="BA33" s="9"/>
      <c r="BB33" s="9"/>
      <c r="BC33" s="9"/>
      <c r="BD33" s="9"/>
      <c r="BE33" s="9"/>
      <c r="BF33" s="9"/>
      <c r="BG33" s="9"/>
    </row>
    <row r="34" spans="1:59">
      <c r="A34" s="9"/>
      <c r="B34" s="9"/>
      <c r="C34" s="9"/>
      <c r="D34" s="9"/>
      <c r="E34" s="9"/>
      <c r="F34" s="9"/>
      <c r="G34" s="9"/>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c r="AK34" s="9"/>
      <c r="AL34" s="9"/>
      <c r="AM34" s="9"/>
      <c r="AN34" s="9"/>
      <c r="AO34" s="9"/>
      <c r="AP34" s="9"/>
      <c r="AQ34" s="9"/>
      <c r="AR34" s="9"/>
      <c r="AS34" s="9"/>
      <c r="AT34" s="9"/>
      <c r="AU34" s="9"/>
      <c r="AV34" s="9"/>
      <c r="AW34" s="9"/>
      <c r="AX34" s="9"/>
      <c r="AY34" s="9"/>
      <c r="AZ34" s="9"/>
      <c r="BA34" s="9"/>
      <c r="BB34" s="9"/>
      <c r="BC34" s="9"/>
      <c r="BD34" s="9"/>
      <c r="BE34" s="9"/>
      <c r="BF34" s="9"/>
      <c r="BG34" s="9"/>
    </row>
    <row r="35" spans="1:59">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c r="AK35" s="9"/>
      <c r="AL35" s="9"/>
      <c r="AM35" s="9"/>
      <c r="AN35" s="9"/>
      <c r="AO35" s="9"/>
      <c r="AP35" s="9"/>
      <c r="AQ35" s="9"/>
      <c r="AR35" s="9"/>
      <c r="AS35" s="9"/>
      <c r="AT35" s="9"/>
      <c r="AU35" s="9"/>
      <c r="AV35" s="9"/>
      <c r="AW35" s="9"/>
      <c r="AX35" s="9"/>
      <c r="AY35" s="9"/>
      <c r="AZ35" s="9"/>
      <c r="BA35" s="9"/>
      <c r="BB35" s="9"/>
      <c r="BC35" s="9"/>
      <c r="BD35" s="9"/>
      <c r="BE35" s="9"/>
      <c r="BF35" s="9"/>
      <c r="BG35" s="9"/>
    </row>
    <row r="36" spans="1:59">
      <c r="A36" s="9"/>
      <c r="B36" s="9"/>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c r="AK36" s="9"/>
      <c r="AL36" s="9"/>
      <c r="AM36" s="9"/>
      <c r="AN36" s="9"/>
      <c r="AO36" s="9"/>
      <c r="AP36" s="9"/>
      <c r="AQ36" s="9"/>
      <c r="AR36" s="9"/>
      <c r="AS36" s="9"/>
      <c r="AT36" s="9"/>
      <c r="AU36" s="9"/>
      <c r="AV36" s="9"/>
      <c r="AW36" s="9"/>
      <c r="AX36" s="9"/>
      <c r="AY36" s="9"/>
      <c r="AZ36" s="9"/>
      <c r="BA36" s="9"/>
      <c r="BB36" s="9"/>
      <c r="BC36" s="9"/>
      <c r="BD36" s="9"/>
      <c r="BE36" s="9"/>
      <c r="BF36" s="9"/>
      <c r="BG36" s="9"/>
    </row>
    <row r="37" spans="1:59">
      <c r="A37" s="9"/>
      <c r="B37" s="9"/>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c r="AK37" s="9"/>
      <c r="AL37" s="9"/>
      <c r="AM37" s="9"/>
      <c r="AN37" s="9"/>
      <c r="AO37" s="9"/>
      <c r="AP37" s="9"/>
      <c r="AQ37" s="9"/>
      <c r="AR37" s="9"/>
      <c r="AS37" s="9"/>
      <c r="AT37" s="9"/>
      <c r="AU37" s="9"/>
      <c r="AV37" s="9"/>
      <c r="AW37" s="9"/>
      <c r="AX37" s="9"/>
      <c r="AY37" s="9"/>
      <c r="AZ37" s="9"/>
      <c r="BA37" s="9"/>
      <c r="BB37" s="9"/>
      <c r="BC37" s="9"/>
      <c r="BD37" s="9"/>
      <c r="BE37" s="9"/>
      <c r="BF37" s="9"/>
      <c r="BG37" s="9"/>
    </row>
    <row r="38" spans="1:59">
      <c r="A38" s="9"/>
      <c r="B38" s="9"/>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c r="AK38" s="9"/>
      <c r="AL38" s="9"/>
      <c r="AM38" s="9"/>
      <c r="AN38" s="9"/>
      <c r="AO38" s="9"/>
      <c r="AP38" s="9"/>
      <c r="AQ38" s="9"/>
      <c r="AR38" s="9"/>
      <c r="AS38" s="9"/>
      <c r="AT38" s="9"/>
      <c r="AU38" s="9"/>
      <c r="AV38" s="9"/>
      <c r="AW38" s="9"/>
      <c r="AX38" s="9"/>
      <c r="AY38" s="9"/>
      <c r="AZ38" s="9"/>
      <c r="BA38" s="9"/>
      <c r="BB38" s="9"/>
      <c r="BC38" s="9"/>
      <c r="BD38" s="9"/>
      <c r="BE38" s="9"/>
      <c r="BF38" s="9"/>
      <c r="BG38" s="9"/>
    </row>
    <row r="39" spans="1:59">
      <c r="A39" s="9"/>
      <c r="B39" s="9"/>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c r="AK39" s="9"/>
      <c r="AL39" s="9"/>
      <c r="AM39" s="9"/>
      <c r="AN39" s="9"/>
      <c r="AO39" s="9"/>
      <c r="AP39" s="9"/>
      <c r="AQ39" s="9"/>
      <c r="AR39" s="9"/>
      <c r="AS39" s="9"/>
      <c r="AT39" s="9"/>
      <c r="AU39" s="9"/>
      <c r="AV39" s="9"/>
      <c r="AW39" s="9"/>
      <c r="AX39" s="9"/>
      <c r="AY39" s="9"/>
      <c r="AZ39" s="9"/>
      <c r="BA39" s="9"/>
      <c r="BB39" s="9"/>
      <c r="BC39" s="9"/>
      <c r="BD39" s="9"/>
      <c r="BE39" s="9"/>
      <c r="BF39" s="9"/>
      <c r="BG39" s="9"/>
    </row>
    <row r="40" spans="1:59">
      <c r="A40" s="9"/>
      <c r="B40" s="9"/>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row>
    <row r="41" spans="1:59">
      <c r="A41" s="9"/>
      <c r="B41" s="9"/>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c r="AK41" s="9"/>
      <c r="AL41" s="9"/>
      <c r="AM41" s="9"/>
      <c r="AN41" s="9"/>
      <c r="AO41" s="9"/>
      <c r="AP41" s="9"/>
      <c r="AQ41" s="9"/>
      <c r="AR41" s="9"/>
      <c r="AS41" s="9"/>
      <c r="AT41" s="9"/>
      <c r="AU41" s="9"/>
      <c r="AV41" s="9"/>
      <c r="AW41" s="9"/>
      <c r="AX41" s="9"/>
      <c r="AY41" s="9"/>
      <c r="AZ41" s="9"/>
      <c r="BA41" s="9"/>
      <c r="BB41" s="9"/>
      <c r="BC41" s="9"/>
      <c r="BD41" s="9"/>
      <c r="BE41" s="9"/>
      <c r="BF41" s="9"/>
      <c r="BG41" s="9"/>
    </row>
    <row r="42" spans="1:59">
      <c r="A42" s="9"/>
      <c r="B42" s="9"/>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c r="AK42" s="9"/>
      <c r="AL42" s="9"/>
      <c r="AM42" s="9"/>
      <c r="AN42" s="9"/>
      <c r="AO42" s="9"/>
      <c r="AP42" s="9"/>
      <c r="AQ42" s="9"/>
      <c r="AR42" s="9"/>
      <c r="AS42" s="9"/>
      <c r="AT42" s="9"/>
      <c r="AU42" s="9"/>
      <c r="AV42" s="9"/>
      <c r="AW42" s="9"/>
      <c r="AX42" s="9"/>
      <c r="AY42" s="9"/>
      <c r="AZ42" s="9"/>
      <c r="BA42" s="9"/>
      <c r="BB42" s="9"/>
      <c r="BC42" s="9"/>
      <c r="BD42" s="9"/>
      <c r="BE42" s="9"/>
      <c r="BF42" s="9"/>
      <c r="BG42" s="9"/>
    </row>
    <row r="43" spans="1:59">
      <c r="A43" s="9"/>
      <c r="B43" s="9"/>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c r="AK43" s="9"/>
      <c r="AL43" s="9"/>
      <c r="AM43" s="9"/>
      <c r="AN43" s="9"/>
      <c r="AO43" s="9"/>
      <c r="AP43" s="9"/>
      <c r="AQ43" s="9"/>
      <c r="AR43" s="9"/>
      <c r="AS43" s="9"/>
      <c r="AT43" s="9"/>
      <c r="AU43" s="9"/>
      <c r="AV43" s="9"/>
      <c r="AW43" s="9"/>
      <c r="AX43" s="9"/>
      <c r="AY43" s="9"/>
      <c r="AZ43" s="9"/>
      <c r="BA43" s="9"/>
      <c r="BB43" s="9"/>
      <c r="BC43" s="9"/>
      <c r="BD43" s="9"/>
      <c r="BE43" s="9"/>
      <c r="BF43" s="9"/>
      <c r="BG43" s="9"/>
    </row>
    <row r="44" spans="1:59">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c r="AK44" s="9"/>
      <c r="AL44" s="9"/>
      <c r="AM44" s="9"/>
      <c r="AN44" s="9"/>
      <c r="AO44" s="9"/>
      <c r="AP44" s="9"/>
      <c r="AQ44" s="9"/>
      <c r="AR44" s="9"/>
      <c r="AS44" s="9"/>
      <c r="AT44" s="9"/>
      <c r="AU44" s="9"/>
      <c r="AV44" s="9"/>
      <c r="AW44" s="9"/>
      <c r="AX44" s="9"/>
      <c r="AY44" s="9"/>
      <c r="AZ44" s="9"/>
      <c r="BA44" s="9"/>
      <c r="BB44" s="9"/>
      <c r="BC44" s="9"/>
      <c r="BD44" s="9"/>
      <c r="BE44" s="9"/>
      <c r="BF44" s="9"/>
      <c r="BG44" s="9"/>
    </row>
    <row r="45" spans="1:59">
      <c r="A45" s="9"/>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c r="AK45" s="9"/>
      <c r="AL45" s="9"/>
      <c r="AM45" s="9"/>
      <c r="AN45" s="9"/>
      <c r="AO45" s="9"/>
      <c r="AP45" s="9"/>
      <c r="AQ45" s="9"/>
      <c r="AR45" s="9"/>
      <c r="AS45" s="9"/>
      <c r="AT45" s="9"/>
      <c r="AU45" s="9"/>
      <c r="AV45" s="9"/>
      <c r="AW45" s="9"/>
      <c r="AX45" s="9"/>
      <c r="AY45" s="9"/>
      <c r="AZ45" s="9"/>
      <c r="BA45" s="9"/>
      <c r="BB45" s="9"/>
      <c r="BC45" s="9"/>
      <c r="BD45" s="9"/>
      <c r="BE45" s="9"/>
      <c r="BF45" s="9"/>
      <c r="BG45" s="9"/>
    </row>
    <row r="46" spans="1:59">
      <c r="A46" s="9"/>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c r="AK46" s="9"/>
      <c r="AL46" s="9"/>
      <c r="AM46" s="9"/>
      <c r="AN46" s="9"/>
      <c r="AO46" s="9"/>
      <c r="AP46" s="9"/>
      <c r="AQ46" s="9"/>
      <c r="AR46" s="9"/>
      <c r="AS46" s="9"/>
      <c r="AT46" s="9"/>
      <c r="AU46" s="9"/>
      <c r="AV46" s="9"/>
      <c r="AW46" s="9"/>
      <c r="AX46" s="9"/>
      <c r="AY46" s="9"/>
      <c r="AZ46" s="9"/>
      <c r="BA46" s="9"/>
      <c r="BB46" s="9"/>
      <c r="BC46" s="9"/>
      <c r="BD46" s="9"/>
      <c r="BE46" s="9"/>
      <c r="BF46" s="9"/>
      <c r="BG46" s="9"/>
    </row>
    <row r="47" spans="1:59">
      <c r="A47" s="9"/>
      <c r="B47" s="9"/>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c r="AK47" s="9"/>
      <c r="AL47" s="9"/>
      <c r="AM47" s="9"/>
      <c r="AN47" s="9"/>
      <c r="AO47" s="9"/>
      <c r="AP47" s="9"/>
      <c r="AQ47" s="9"/>
      <c r="AR47" s="9"/>
      <c r="AS47" s="9"/>
      <c r="AT47" s="9"/>
      <c r="AU47" s="9"/>
      <c r="AV47" s="9"/>
      <c r="AW47" s="9"/>
      <c r="AX47" s="9"/>
      <c r="AY47" s="9"/>
      <c r="AZ47" s="9"/>
      <c r="BA47" s="9"/>
      <c r="BB47" s="9"/>
      <c r="BC47" s="9"/>
      <c r="BD47" s="9"/>
      <c r="BE47" s="9"/>
      <c r="BF47" s="9"/>
      <c r="BG47" s="9"/>
    </row>
    <row r="48" spans="1:59">
      <c r="A48" s="9"/>
      <c r="B48" s="9"/>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c r="AK48" s="9"/>
      <c r="AL48" s="9"/>
      <c r="AM48" s="9"/>
      <c r="AN48" s="9"/>
      <c r="AO48" s="9"/>
      <c r="AP48" s="9"/>
      <c r="AQ48" s="9"/>
      <c r="AR48" s="9"/>
      <c r="AS48" s="9"/>
      <c r="AT48" s="9"/>
      <c r="AU48" s="9"/>
      <c r="AV48" s="9"/>
      <c r="AW48" s="9"/>
      <c r="AX48" s="9"/>
      <c r="AY48" s="9"/>
      <c r="AZ48" s="9"/>
      <c r="BA48" s="9"/>
      <c r="BB48" s="9"/>
      <c r="BC48" s="9"/>
      <c r="BD48" s="9"/>
      <c r="BE48" s="9"/>
      <c r="BF48" s="9"/>
      <c r="BG48" s="9"/>
    </row>
    <row r="49" spans="1:59">
      <c r="A49" s="9"/>
      <c r="B49" s="9"/>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c r="AK49" s="9"/>
      <c r="AL49" s="9"/>
      <c r="AM49" s="9"/>
      <c r="AN49" s="9"/>
      <c r="AO49" s="9"/>
      <c r="AP49" s="9"/>
      <c r="AQ49" s="9"/>
      <c r="AR49" s="9"/>
      <c r="AS49" s="9"/>
      <c r="AT49" s="9"/>
      <c r="AU49" s="9"/>
      <c r="AV49" s="9"/>
      <c r="AW49" s="9"/>
      <c r="AX49" s="9"/>
      <c r="AY49" s="9"/>
      <c r="AZ49" s="9"/>
      <c r="BA49" s="9"/>
      <c r="BB49" s="9"/>
      <c r="BC49" s="9"/>
      <c r="BD49" s="9"/>
      <c r="BE49" s="9"/>
      <c r="BF49" s="9"/>
      <c r="BG49" s="9"/>
    </row>
    <row r="50" spans="1:59">
      <c r="A50" s="9"/>
      <c r="B50" s="9"/>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c r="AK50" s="9"/>
      <c r="AL50" s="9"/>
      <c r="AM50" s="9"/>
      <c r="AN50" s="9"/>
      <c r="AO50" s="9"/>
      <c r="AP50" s="9"/>
      <c r="AQ50" s="9"/>
      <c r="AR50" s="9"/>
      <c r="AS50" s="9"/>
      <c r="AT50" s="9"/>
      <c r="AU50" s="9"/>
      <c r="AV50" s="9"/>
      <c r="AW50" s="9"/>
      <c r="AX50" s="9"/>
      <c r="AY50" s="9"/>
      <c r="AZ50" s="9"/>
      <c r="BA50" s="9"/>
      <c r="BB50" s="9"/>
      <c r="BC50" s="9"/>
      <c r="BD50" s="9"/>
      <c r="BE50" s="9"/>
      <c r="BF50" s="9"/>
      <c r="BG50" s="9"/>
    </row>
    <row r="51" spans="1:59">
      <c r="A51" s="9"/>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c r="AK51" s="9"/>
      <c r="AL51" s="9"/>
      <c r="AM51" s="9"/>
      <c r="AN51" s="9"/>
      <c r="AO51" s="9"/>
      <c r="AP51" s="9"/>
      <c r="AQ51" s="9"/>
      <c r="AR51" s="9"/>
      <c r="AS51" s="9"/>
      <c r="AT51" s="9"/>
      <c r="AU51" s="9"/>
      <c r="AV51" s="9"/>
      <c r="AW51" s="9"/>
      <c r="AX51" s="9"/>
      <c r="AY51" s="9"/>
      <c r="AZ51" s="9"/>
      <c r="BA51" s="9"/>
      <c r="BB51" s="9"/>
      <c r="BC51" s="9"/>
      <c r="BD51" s="9"/>
      <c r="BE51" s="9"/>
      <c r="BF51" s="9"/>
      <c r="BG51" s="9"/>
    </row>
    <row r="52" spans="1:59">
      <c r="A52" s="9"/>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c r="AK52" s="9"/>
      <c r="AL52" s="9"/>
      <c r="AM52" s="9"/>
      <c r="AN52" s="9"/>
      <c r="AO52" s="9"/>
      <c r="AP52" s="9"/>
      <c r="AQ52" s="9"/>
      <c r="AR52" s="9"/>
      <c r="AS52" s="9"/>
      <c r="AT52" s="9"/>
      <c r="AU52" s="9"/>
      <c r="AV52" s="9"/>
      <c r="AW52" s="9"/>
      <c r="AX52" s="9"/>
      <c r="AY52" s="9"/>
      <c r="AZ52" s="9"/>
      <c r="BA52" s="9"/>
      <c r="BB52" s="9"/>
      <c r="BC52" s="9"/>
      <c r="BD52" s="9"/>
      <c r="BE52" s="9"/>
      <c r="BF52" s="9"/>
      <c r="BG52" s="9"/>
    </row>
    <row r="53" spans="1:59">
      <c r="A53" s="9"/>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c r="AK53" s="9"/>
      <c r="AL53" s="9"/>
      <c r="AM53" s="9"/>
      <c r="AN53" s="9"/>
      <c r="AO53" s="9"/>
      <c r="AP53" s="9"/>
      <c r="AQ53" s="9"/>
      <c r="AR53" s="9"/>
      <c r="AS53" s="9"/>
      <c r="AT53" s="9"/>
      <c r="AU53" s="9"/>
      <c r="AV53" s="9"/>
      <c r="AW53" s="9"/>
      <c r="AX53" s="9"/>
      <c r="AY53" s="9"/>
      <c r="AZ53" s="9"/>
      <c r="BA53" s="9"/>
      <c r="BB53" s="9"/>
      <c r="BC53" s="9"/>
      <c r="BD53" s="9"/>
      <c r="BE53" s="9"/>
      <c r="BF53" s="9"/>
      <c r="BG53" s="9"/>
    </row>
    <row r="54" spans="1:59">
      <c r="A54" s="9"/>
      <c r="B54" s="9"/>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row>
    <row r="55" spans="1:59">
      <c r="A55" s="9"/>
      <c r="B55" s="9"/>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c r="AK55" s="9"/>
      <c r="AL55" s="9"/>
      <c r="AM55" s="9"/>
      <c r="AN55" s="9"/>
      <c r="AO55" s="9"/>
      <c r="AP55" s="9"/>
      <c r="AQ55" s="9"/>
      <c r="AR55" s="9"/>
      <c r="AS55" s="9"/>
      <c r="AT55" s="9"/>
      <c r="AU55" s="9"/>
      <c r="AV55" s="9"/>
      <c r="AW55" s="9"/>
      <c r="AX55" s="9"/>
      <c r="AY55" s="9"/>
      <c r="AZ55" s="9"/>
      <c r="BA55" s="9"/>
      <c r="BB55" s="9"/>
      <c r="BC55" s="9"/>
      <c r="BD55" s="9"/>
      <c r="BE55" s="9"/>
      <c r="BF55" s="9"/>
      <c r="BG55" s="9"/>
    </row>
    <row r="56" spans="1:59">
      <c r="A56" s="9"/>
      <c r="B56" s="9"/>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c r="AK56" s="9"/>
      <c r="AL56" s="9"/>
      <c r="AM56" s="9"/>
      <c r="AN56" s="9"/>
      <c r="AO56" s="9"/>
      <c r="AP56" s="9"/>
      <c r="AQ56" s="9"/>
      <c r="AR56" s="9"/>
      <c r="AS56" s="9"/>
      <c r="AT56" s="9"/>
      <c r="AU56" s="9"/>
      <c r="AV56" s="9"/>
      <c r="AW56" s="9"/>
      <c r="AX56" s="9"/>
      <c r="AY56" s="9"/>
      <c r="AZ56" s="9"/>
      <c r="BA56" s="9"/>
      <c r="BB56" s="9"/>
      <c r="BC56" s="9"/>
      <c r="BD56" s="9"/>
      <c r="BE56" s="9"/>
      <c r="BF56" s="9"/>
      <c r="BG56" s="9"/>
    </row>
    <row r="57" spans="1:59">
      <c r="A57" s="9"/>
      <c r="B57" s="9"/>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c r="AK57" s="9"/>
      <c r="AL57" s="9"/>
      <c r="AM57" s="9"/>
      <c r="AN57" s="9"/>
      <c r="AO57" s="9"/>
      <c r="AP57" s="9"/>
      <c r="AQ57" s="9"/>
      <c r="AR57" s="9"/>
      <c r="AS57" s="9"/>
      <c r="AT57" s="9"/>
      <c r="AU57" s="9"/>
      <c r="AV57" s="9"/>
      <c r="AW57" s="9"/>
      <c r="AX57" s="9"/>
      <c r="AY57" s="9"/>
      <c r="AZ57" s="9"/>
      <c r="BA57" s="9"/>
      <c r="BB57" s="9"/>
      <c r="BC57" s="9"/>
      <c r="BD57" s="9"/>
      <c r="BE57" s="9"/>
      <c r="BF57" s="9"/>
      <c r="BG57" s="9"/>
    </row>
    <row r="58" spans="1:59">
      <c r="A58" s="9"/>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c r="AK58" s="9"/>
      <c r="AL58" s="9"/>
      <c r="AM58" s="9"/>
      <c r="AN58" s="9"/>
      <c r="AO58" s="9"/>
      <c r="AP58" s="9"/>
      <c r="AQ58" s="9"/>
      <c r="AR58" s="9"/>
      <c r="AS58" s="9"/>
      <c r="AT58" s="9"/>
      <c r="AU58" s="9"/>
      <c r="AV58" s="9"/>
      <c r="AW58" s="9"/>
      <c r="AX58" s="9"/>
      <c r="AY58" s="9"/>
      <c r="AZ58" s="9"/>
      <c r="BA58" s="9"/>
      <c r="BB58" s="9"/>
      <c r="BC58" s="9"/>
      <c r="BD58" s="9"/>
      <c r="BE58" s="9"/>
      <c r="BF58" s="9"/>
      <c r="BG58" s="9"/>
    </row>
    <row r="59" spans="1:59">
      <c r="A59" s="9"/>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row>
    <row r="60" spans="1:59">
      <c r="A60" s="9"/>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c r="AK60" s="9"/>
      <c r="AL60" s="9"/>
      <c r="AM60" s="9"/>
      <c r="AN60" s="9"/>
      <c r="AO60" s="9"/>
      <c r="AP60" s="9"/>
      <c r="AQ60" s="9"/>
      <c r="AR60" s="9"/>
      <c r="AS60" s="9"/>
      <c r="AT60" s="9"/>
      <c r="AU60" s="9"/>
      <c r="AV60" s="9"/>
      <c r="AW60" s="9"/>
      <c r="AX60" s="9"/>
      <c r="AY60" s="9"/>
      <c r="AZ60" s="9"/>
      <c r="BA60" s="9"/>
      <c r="BB60" s="9"/>
      <c r="BC60" s="9"/>
      <c r="BD60" s="9"/>
      <c r="BE60" s="9"/>
      <c r="BF60" s="9"/>
      <c r="BG60" s="9"/>
    </row>
    <row r="61" spans="1:59">
      <c r="A61" s="9"/>
      <c r="B61" s="9"/>
      <c r="C61" s="9"/>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c r="AK61" s="9"/>
      <c r="AL61" s="9"/>
      <c r="AM61" s="9"/>
      <c r="AN61" s="9"/>
      <c r="AO61" s="9"/>
      <c r="AP61" s="9"/>
      <c r="AQ61" s="9"/>
      <c r="AR61" s="9"/>
      <c r="AS61" s="9"/>
      <c r="AT61" s="9"/>
      <c r="AU61" s="9"/>
      <c r="AV61" s="9"/>
      <c r="AW61" s="9"/>
      <c r="AX61" s="9"/>
      <c r="AY61" s="9"/>
      <c r="AZ61" s="9"/>
      <c r="BA61" s="9"/>
      <c r="BB61" s="9"/>
      <c r="BC61" s="9"/>
      <c r="BD61" s="9"/>
      <c r="BE61" s="9"/>
      <c r="BF61" s="9"/>
      <c r="BG61" s="9"/>
    </row>
    <row r="62" spans="1:59">
      <c r="A62" s="9"/>
      <c r="B62" s="9"/>
      <c r="C62" s="9"/>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c r="AK62" s="9"/>
      <c r="AL62" s="9"/>
      <c r="AM62" s="9"/>
      <c r="AN62" s="9"/>
      <c r="AO62" s="9"/>
      <c r="AP62" s="9"/>
      <c r="AQ62" s="9"/>
      <c r="AR62" s="9"/>
      <c r="AS62" s="9"/>
      <c r="AT62" s="9"/>
      <c r="AU62" s="9"/>
      <c r="AV62" s="9"/>
      <c r="AW62" s="9"/>
      <c r="AX62" s="9"/>
      <c r="AY62" s="9"/>
      <c r="AZ62" s="9"/>
      <c r="BA62" s="9"/>
      <c r="BB62" s="9"/>
      <c r="BC62" s="9"/>
      <c r="BD62" s="9"/>
      <c r="BE62" s="9"/>
      <c r="BF62" s="9"/>
      <c r="BG62" s="9"/>
    </row>
    <row r="63" spans="1:59">
      <c r="A63" s="9"/>
      <c r="B63" s="9"/>
      <c r="C63" s="9"/>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c r="AK63" s="9"/>
      <c r="AL63" s="9"/>
      <c r="AM63" s="9"/>
      <c r="AN63" s="9"/>
      <c r="AO63" s="9"/>
      <c r="AP63" s="9"/>
      <c r="AQ63" s="9"/>
      <c r="AR63" s="9"/>
      <c r="AS63" s="9"/>
      <c r="AT63" s="9"/>
      <c r="AU63" s="9"/>
      <c r="AV63" s="9"/>
      <c r="AW63" s="9"/>
      <c r="AX63" s="9"/>
      <c r="AY63" s="9"/>
      <c r="AZ63" s="9"/>
      <c r="BA63" s="9"/>
      <c r="BB63" s="9"/>
      <c r="BC63" s="9"/>
      <c r="BD63" s="9"/>
      <c r="BE63" s="9"/>
      <c r="BF63" s="9"/>
      <c r="BG63" s="9"/>
    </row>
    <row r="64" spans="1:59">
      <c r="A64" s="9"/>
      <c r="B64" s="9"/>
      <c r="C64" s="9"/>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row>
    <row r="65" spans="1:59">
      <c r="A65" s="9"/>
      <c r="B65" s="9"/>
      <c r="C65" s="9"/>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row>
    <row r="66" spans="1:59">
      <c r="A66" s="9"/>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c r="AK66" s="9"/>
      <c r="AL66" s="9"/>
      <c r="AM66" s="9"/>
      <c r="AN66" s="9"/>
      <c r="AO66" s="9"/>
      <c r="AP66" s="9"/>
      <c r="AQ66" s="9"/>
      <c r="AR66" s="9"/>
      <c r="AS66" s="9"/>
      <c r="AT66" s="9"/>
      <c r="AU66" s="9"/>
      <c r="AV66" s="9"/>
      <c r="AW66" s="9"/>
      <c r="AX66" s="9"/>
      <c r="AY66" s="9"/>
      <c r="AZ66" s="9"/>
      <c r="BA66" s="9"/>
      <c r="BB66" s="9"/>
      <c r="BC66" s="9"/>
      <c r="BD66" s="9"/>
      <c r="BE66" s="9"/>
      <c r="BF66" s="9"/>
      <c r="BG66" s="9"/>
    </row>
    <row r="67" spans="1:59">
      <c r="A67" s="9"/>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c r="AK67" s="9"/>
      <c r="AL67" s="9"/>
      <c r="AM67" s="9"/>
      <c r="AN67" s="9"/>
      <c r="AO67" s="9"/>
      <c r="AP67" s="9"/>
      <c r="AQ67" s="9"/>
      <c r="AR67" s="9"/>
      <c r="AS67" s="9"/>
      <c r="AT67" s="9"/>
      <c r="AU67" s="9"/>
      <c r="AV67" s="9"/>
      <c r="AW67" s="9"/>
      <c r="AX67" s="9"/>
      <c r="AY67" s="9"/>
      <c r="AZ67" s="9"/>
      <c r="BA67" s="9"/>
      <c r="BB67" s="9"/>
      <c r="BC67" s="9"/>
      <c r="BD67" s="9"/>
      <c r="BE67" s="9"/>
      <c r="BF67" s="9"/>
      <c r="BG67" s="9"/>
    </row>
    <row r="68" spans="1:59">
      <c r="A68" s="9"/>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c r="AK68" s="9"/>
      <c r="AL68" s="9"/>
      <c r="AM68" s="9"/>
      <c r="AN68" s="9"/>
      <c r="AO68" s="9"/>
      <c r="AP68" s="9"/>
      <c r="AQ68" s="9"/>
      <c r="AR68" s="9"/>
      <c r="AS68" s="9"/>
      <c r="AT68" s="9"/>
      <c r="AU68" s="9"/>
      <c r="AV68" s="9"/>
      <c r="AW68" s="9"/>
      <c r="AX68" s="9"/>
      <c r="AY68" s="9"/>
      <c r="AZ68" s="9"/>
      <c r="BA68" s="9"/>
      <c r="BB68" s="9"/>
      <c r="BC68" s="9"/>
      <c r="BD68" s="9"/>
      <c r="BE68" s="9"/>
      <c r="BF68" s="9"/>
      <c r="BG68" s="9"/>
    </row>
    <row r="69" spans="1:59">
      <c r="A69" s="9"/>
      <c r="B69" s="9"/>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c r="AK69" s="9"/>
      <c r="AL69" s="9"/>
      <c r="AM69" s="9"/>
      <c r="AN69" s="9"/>
      <c r="AO69" s="9"/>
      <c r="AP69" s="9"/>
      <c r="AQ69" s="9"/>
      <c r="AR69" s="9"/>
      <c r="AS69" s="9"/>
      <c r="AT69" s="9"/>
      <c r="AU69" s="9"/>
      <c r="AV69" s="9"/>
      <c r="AW69" s="9"/>
      <c r="AX69" s="9"/>
      <c r="AY69" s="9"/>
      <c r="AZ69" s="9"/>
      <c r="BA69" s="9"/>
      <c r="BB69" s="9"/>
      <c r="BC69" s="9"/>
      <c r="BD69" s="9"/>
      <c r="BE69" s="9"/>
      <c r="BF69" s="9"/>
      <c r="BG69" s="9"/>
    </row>
    <row r="70" spans="1:59">
      <c r="A70" s="9"/>
      <c r="B70" s="9"/>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c r="AK70" s="9"/>
      <c r="AL70" s="9"/>
      <c r="AM70" s="9"/>
      <c r="AN70" s="9"/>
      <c r="AO70" s="9"/>
      <c r="AP70" s="9"/>
      <c r="AQ70" s="9"/>
      <c r="AR70" s="9"/>
      <c r="AS70" s="9"/>
      <c r="AT70" s="9"/>
      <c r="AU70" s="9"/>
      <c r="AV70" s="9"/>
      <c r="AW70" s="9"/>
      <c r="AX70" s="9"/>
      <c r="AY70" s="9"/>
      <c r="AZ70" s="9"/>
      <c r="BA70" s="9"/>
      <c r="BB70" s="9"/>
      <c r="BC70" s="9"/>
      <c r="BD70" s="9"/>
      <c r="BE70" s="9"/>
      <c r="BF70" s="9"/>
      <c r="BG70" s="9"/>
    </row>
    <row r="71" spans="1:59">
      <c r="A71" s="9"/>
      <c r="B71" s="9"/>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c r="AK71" s="9"/>
      <c r="AL71" s="9"/>
      <c r="AM71" s="9"/>
      <c r="AN71" s="9"/>
      <c r="AO71" s="9"/>
      <c r="AP71" s="9"/>
      <c r="AQ71" s="9"/>
      <c r="AR71" s="9"/>
      <c r="AS71" s="9"/>
      <c r="AT71" s="9"/>
      <c r="AU71" s="9"/>
      <c r="AV71" s="9"/>
      <c r="AW71" s="9"/>
      <c r="AX71" s="9"/>
      <c r="AY71" s="9"/>
      <c r="AZ71" s="9"/>
      <c r="BA71" s="9"/>
      <c r="BB71" s="9"/>
      <c r="BC71" s="9"/>
      <c r="BD71" s="9"/>
      <c r="BE71" s="9"/>
      <c r="BF71" s="9"/>
      <c r="BG71" s="9"/>
    </row>
    <row r="72" spans="1:59">
      <c r="A72" s="9"/>
      <c r="B72" s="9"/>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c r="AK72" s="9"/>
      <c r="AL72" s="9"/>
      <c r="AM72" s="9"/>
      <c r="AN72" s="9"/>
      <c r="AO72" s="9"/>
      <c r="AP72" s="9"/>
      <c r="AQ72" s="9"/>
      <c r="AR72" s="9"/>
      <c r="AS72" s="9"/>
      <c r="AT72" s="9"/>
      <c r="AU72" s="9"/>
      <c r="AV72" s="9"/>
      <c r="AW72" s="9"/>
      <c r="AX72" s="9"/>
      <c r="AY72" s="9"/>
      <c r="AZ72" s="9"/>
      <c r="BA72" s="9"/>
      <c r="BB72" s="9"/>
      <c r="BC72" s="9"/>
      <c r="BD72" s="9"/>
      <c r="BE72" s="9"/>
      <c r="BF72" s="9"/>
      <c r="BG72" s="9"/>
    </row>
    <row r="73" spans="1:59">
      <c r="A73" s="9"/>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c r="AK73" s="9"/>
      <c r="AL73" s="9"/>
      <c r="AM73" s="9"/>
      <c r="AN73" s="9"/>
      <c r="AO73" s="9"/>
      <c r="AP73" s="9"/>
      <c r="AQ73" s="9"/>
      <c r="AR73" s="9"/>
      <c r="AS73" s="9"/>
      <c r="AT73" s="9"/>
      <c r="AU73" s="9"/>
      <c r="AV73" s="9"/>
      <c r="AW73" s="9"/>
      <c r="AX73" s="9"/>
      <c r="AY73" s="9"/>
      <c r="AZ73" s="9"/>
      <c r="BA73" s="9"/>
      <c r="BB73" s="9"/>
      <c r="BC73" s="9"/>
      <c r="BD73" s="9"/>
      <c r="BE73" s="9"/>
      <c r="BF73" s="9"/>
      <c r="BG73" s="9"/>
    </row>
    <row r="74" spans="1:59">
      <c r="A74" s="9"/>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c r="AK74" s="9"/>
      <c r="AL74" s="9"/>
      <c r="AM74" s="9"/>
      <c r="AN74" s="9"/>
      <c r="AO74" s="9"/>
      <c r="AP74" s="9"/>
      <c r="AQ74" s="9"/>
      <c r="AR74" s="9"/>
      <c r="AS74" s="9"/>
      <c r="AT74" s="9"/>
      <c r="AU74" s="9"/>
      <c r="AV74" s="9"/>
      <c r="AW74" s="9"/>
      <c r="AX74" s="9"/>
      <c r="AY74" s="9"/>
      <c r="AZ74" s="9"/>
      <c r="BA74" s="9"/>
      <c r="BB74" s="9"/>
      <c r="BC74" s="9"/>
      <c r="BD74" s="9"/>
      <c r="BE74" s="9"/>
      <c r="BF74" s="9"/>
      <c r="BG74" s="9"/>
    </row>
    <row r="75" spans="1:59">
      <c r="A75" s="9"/>
      <c r="B75" s="9"/>
      <c r="C75" s="9"/>
      <c r="D75" s="9"/>
      <c r="E75" s="9"/>
      <c r="F75" s="9"/>
      <c r="G75" s="9"/>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c r="AK75" s="9"/>
      <c r="AL75" s="9"/>
      <c r="AM75" s="9"/>
      <c r="AN75" s="9"/>
      <c r="AO75" s="9"/>
      <c r="AP75" s="9"/>
      <c r="AQ75" s="9"/>
      <c r="AR75" s="9"/>
      <c r="AS75" s="9"/>
      <c r="AT75" s="9"/>
      <c r="AU75" s="9"/>
      <c r="AV75" s="9"/>
      <c r="AW75" s="9"/>
      <c r="AX75" s="9"/>
      <c r="AY75" s="9"/>
      <c r="AZ75" s="9"/>
      <c r="BA75" s="9"/>
      <c r="BB75" s="9"/>
      <c r="BC75" s="9"/>
      <c r="BD75" s="9"/>
      <c r="BE75" s="9"/>
      <c r="BF75" s="9"/>
      <c r="BG75" s="9"/>
    </row>
    <row r="76" spans="1:59">
      <c r="A76" s="9"/>
      <c r="B76" s="9"/>
      <c r="C76" s="9"/>
      <c r="D76" s="9"/>
      <c r="E76" s="9"/>
      <c r="F76" s="9"/>
      <c r="G76" s="9"/>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c r="AK76" s="9"/>
      <c r="AL76" s="9"/>
      <c r="AM76" s="9"/>
      <c r="AN76" s="9"/>
      <c r="AO76" s="9"/>
      <c r="AP76" s="9"/>
      <c r="AQ76" s="9"/>
      <c r="AR76" s="9"/>
      <c r="AS76" s="9"/>
      <c r="AT76" s="9"/>
      <c r="AU76" s="9"/>
      <c r="AV76" s="9"/>
      <c r="AW76" s="9"/>
      <c r="AX76" s="9"/>
      <c r="AY76" s="9"/>
      <c r="AZ76" s="9"/>
      <c r="BA76" s="9"/>
      <c r="BB76" s="9"/>
      <c r="BC76" s="9"/>
      <c r="BD76" s="9"/>
      <c r="BE76" s="9"/>
      <c r="BF76" s="9"/>
      <c r="BG76" s="9"/>
    </row>
    <row r="77" spans="1:59">
      <c r="A77" s="9"/>
      <c r="B77" s="9"/>
      <c r="C77" s="9"/>
      <c r="D77" s="9"/>
      <c r="E77" s="9"/>
      <c r="F77" s="9"/>
      <c r="G77" s="9"/>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c r="AK77" s="9"/>
      <c r="AL77" s="9"/>
      <c r="AM77" s="9"/>
      <c r="AN77" s="9"/>
      <c r="AO77" s="9"/>
      <c r="AP77" s="9"/>
      <c r="AQ77" s="9"/>
      <c r="AR77" s="9"/>
      <c r="AS77" s="9"/>
      <c r="AT77" s="9"/>
      <c r="AU77" s="9"/>
      <c r="AV77" s="9"/>
      <c r="AW77" s="9"/>
      <c r="AX77" s="9"/>
      <c r="AY77" s="9"/>
      <c r="AZ77" s="9"/>
      <c r="BA77" s="9"/>
      <c r="BB77" s="9"/>
      <c r="BC77" s="9"/>
      <c r="BD77" s="9"/>
      <c r="BE77" s="9"/>
      <c r="BF77" s="9"/>
      <c r="BG77" s="9"/>
    </row>
    <row r="78" spans="1:59">
      <c r="A78" s="9"/>
      <c r="B78" s="9"/>
      <c r="C78" s="9"/>
      <c r="D78" s="9"/>
      <c r="E78" s="9"/>
      <c r="F78" s="9"/>
      <c r="G78" s="9"/>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c r="AK78" s="9"/>
      <c r="AL78" s="9"/>
      <c r="AM78" s="9"/>
      <c r="AN78" s="9"/>
      <c r="AO78" s="9"/>
      <c r="AP78" s="9"/>
      <c r="AQ78" s="9"/>
      <c r="AR78" s="9"/>
      <c r="AS78" s="9"/>
      <c r="AT78" s="9"/>
      <c r="AU78" s="9"/>
      <c r="AV78" s="9"/>
      <c r="AW78" s="9"/>
      <c r="AX78" s="9"/>
      <c r="AY78" s="9"/>
      <c r="AZ78" s="9"/>
      <c r="BA78" s="9"/>
      <c r="BB78" s="9"/>
      <c r="BC78" s="9"/>
      <c r="BD78" s="9"/>
      <c r="BE78" s="9"/>
      <c r="BF78" s="9"/>
      <c r="BG78" s="9"/>
    </row>
    <row r="79" spans="1:59">
      <c r="A79" s="9"/>
      <c r="B79" s="9"/>
      <c r="C79" s="9"/>
      <c r="D79" s="9"/>
      <c r="E79" s="9"/>
      <c r="F79" s="9"/>
      <c r="G79" s="9"/>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row>
    <row r="80" spans="1:59">
      <c r="A80" s="9"/>
      <c r="B80" s="9"/>
      <c r="C80" s="9"/>
      <c r="D80" s="9"/>
      <c r="E80" s="9"/>
      <c r="F80" s="9"/>
      <c r="G80" s="9"/>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row>
    <row r="81" spans="1:59">
      <c r="A81" s="9"/>
      <c r="B81" s="9"/>
      <c r="C81" s="9"/>
      <c r="D81" s="9"/>
      <c r="E81" s="9"/>
      <c r="F81" s="9"/>
      <c r="G81" s="9"/>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row>
    <row r="82" spans="1:59">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row>
    <row r="83" spans="1:59">
      <c r="A83" s="9"/>
      <c r="B83" s="9"/>
      <c r="C83" s="9"/>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row>
    <row r="84" spans="1:59">
      <c r="A84" s="9"/>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row>
    <row r="85" spans="1:59">
      <c r="A85" s="9"/>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row>
    <row r="86" spans="1:59">
      <c r="A86" s="9"/>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row>
    <row r="87" spans="1:59">
      <c r="A87" s="9"/>
      <c r="B87" s="9"/>
      <c r="C87" s="9"/>
      <c r="D87" s="9"/>
      <c r="E87" s="9"/>
      <c r="F87" s="9"/>
      <c r="G87" s="9"/>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row>
    <row r="88" spans="1:5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row>
  </sheetData>
  <sheetProtection algorithmName="SHA-512" hashValue="50gGjVe0iUlUPemXVtCHYPQdx/tjiK8x0ZKOO9+wPM8pN1C1BZVeK5AGYg2kFIS0XxGkKk81PDc/UZZOgXcdFQ==" saltValue="QAvd02fsrhDhrFAbF8wwOQ==" spinCount="100000" sheet="1" objects="1" scenarios="1"/>
  <mergeCells count="2">
    <mergeCell ref="C1:F1"/>
    <mergeCell ref="C3:F3"/>
  </mergeCells>
  <conditionalFormatting sqref="D7:E7">
    <cfRule type="expression" dxfId="8" priority="4">
      <formula>stageno&lt;2</formula>
    </cfRule>
  </conditionalFormatting>
  <conditionalFormatting sqref="D8:E8">
    <cfRule type="expression" dxfId="7" priority="3">
      <formula>stageno&lt;3</formula>
    </cfRule>
  </conditionalFormatting>
  <conditionalFormatting sqref="D9:E9">
    <cfRule type="expression" dxfId="6" priority="2">
      <formula>stageno&lt;4</formula>
    </cfRule>
  </conditionalFormatting>
  <conditionalFormatting sqref="D10:E10">
    <cfRule type="expression" dxfId="5" priority="1">
      <formula>stageno&lt;5</formula>
    </cfRule>
  </conditionalFormatting>
  <dataValidations count="2">
    <dataValidation type="list" allowBlank="1" showInputMessage="1" showErrorMessage="1" promptTitle="Manual Override" prompt="Select whether to allow model to calculate or to manually override" sqref="D7:D13" xr:uid="{00000000-0002-0000-0E00-000000000000}">
      <formula1>Manual_override</formula1>
    </dataValidation>
    <dataValidation type="decimal" allowBlank="1" showInputMessage="1" showErrorMessage="1" prompt="If future stage, value must be zero_x000a_" sqref="E21" xr:uid="{05FCE632-2FE4-4E0A-9EAD-29A3C625B6A9}">
      <formula1>J21</formula1>
      <formula2>K21</formula2>
    </dataValidation>
  </dataValidations>
  <hyperlinks>
    <hyperlink ref="A5" location="Guide" display="Guide" xr:uid="{634CE02A-E30E-494E-9EE7-A501696BDBE4}"/>
    <hyperlink ref="A6" location="Input" display="Input" xr:uid="{FD6460EE-04F8-40A3-915B-175D49465D8A}"/>
  </hyperlink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3">
    <tabColor theme="9" tint="-0.249977111117893"/>
  </sheetPr>
  <dimension ref="A1:BI109"/>
  <sheetViews>
    <sheetView showGridLines="0" showRowColHeaders="0" zoomScale="60" zoomScaleNormal="60" workbookViewId="0">
      <pane xSplit="1" ySplit="7" topLeftCell="B8" activePane="bottomRight" state="frozen"/>
      <selection activeCell="D43" sqref="D43"/>
      <selection pane="topRight" activeCell="D43" sqref="D43"/>
      <selection pane="bottomLeft" activeCell="D43" sqref="D43"/>
      <selection pane="bottomRight"/>
    </sheetView>
  </sheetViews>
  <sheetFormatPr defaultRowHeight="15"/>
  <cols>
    <col min="1" max="1" width="14.42578125" customWidth="1"/>
    <col min="2" max="2" width="15.28515625" customWidth="1"/>
    <col min="3" max="8" width="11.7109375" customWidth="1"/>
    <col min="9" max="9" width="14.42578125" customWidth="1"/>
    <col min="10" max="10" width="14.140625" customWidth="1"/>
    <col min="11" max="11" width="12.28515625" customWidth="1"/>
    <col min="12" max="12" width="16.28515625" customWidth="1"/>
    <col min="13" max="18" width="11.7109375" customWidth="1"/>
    <col min="19" max="19" width="13" customWidth="1"/>
    <col min="20" max="20" width="13.28515625" customWidth="1"/>
    <col min="21" max="21" width="11.7109375" customWidth="1"/>
    <col min="22" max="22" width="14.5703125" customWidth="1"/>
    <col min="23" max="28" width="11.7109375" customWidth="1"/>
    <col min="29" max="29" width="15" customWidth="1"/>
    <col min="30" max="30" width="14.5703125" customWidth="1"/>
    <col min="31" max="31" width="11.7109375" customWidth="1"/>
    <col min="32" max="32" width="15.28515625" customWidth="1"/>
    <col min="33" max="38" width="11.7109375" customWidth="1"/>
    <col min="39" max="39" width="13.5703125" customWidth="1"/>
    <col min="40" max="40" width="15.85546875" customWidth="1"/>
    <col min="41" max="48" width="11.7109375" customWidth="1"/>
    <col min="49" max="49" width="13.5703125" customWidth="1"/>
    <col min="50" max="50" width="15" customWidth="1"/>
    <col min="51" max="66" width="11.7109375" customWidth="1"/>
  </cols>
  <sheetData>
    <row r="1" spans="1:61" ht="18.75">
      <c r="A1" s="93" t="s">
        <v>756</v>
      </c>
      <c r="B1" s="92" t="s">
        <v>556</v>
      </c>
      <c r="C1" s="5"/>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row>
    <row r="2" spans="1:61" ht="18.75">
      <c r="A2" s="93" t="s">
        <v>139</v>
      </c>
      <c r="B2" s="64"/>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row>
    <row r="3" spans="1:61">
      <c r="A3" s="64" t="s">
        <v>418</v>
      </c>
      <c r="B3" s="84" t="s">
        <v>557</v>
      </c>
      <c r="C3" s="84"/>
      <c r="D3" s="64"/>
      <c r="E3" s="64"/>
      <c r="F3" s="64"/>
      <c r="G3" s="64"/>
      <c r="H3" s="64"/>
      <c r="I3" s="64"/>
      <c r="J3" s="64"/>
      <c r="K3" s="64"/>
      <c r="L3" s="84" t="s">
        <v>558</v>
      </c>
      <c r="M3" s="84"/>
      <c r="N3" s="64"/>
      <c r="O3" s="64"/>
      <c r="P3" s="64"/>
      <c r="Q3" s="64"/>
      <c r="R3" s="64"/>
      <c r="S3" s="64"/>
      <c r="T3" s="64"/>
      <c r="U3" s="64"/>
      <c r="V3" s="84" t="s">
        <v>559</v>
      </c>
      <c r="W3" s="84"/>
      <c r="X3" s="64"/>
      <c r="Y3" s="64"/>
      <c r="Z3" s="64"/>
      <c r="AA3" s="64"/>
      <c r="AB3" s="64"/>
      <c r="AC3" s="64"/>
      <c r="AD3" s="64"/>
      <c r="AE3" s="64"/>
      <c r="AF3" s="84" t="s">
        <v>560</v>
      </c>
      <c r="AG3" s="84"/>
      <c r="AH3" s="64"/>
      <c r="AI3" s="64"/>
      <c r="AJ3" s="64"/>
      <c r="AK3" s="64"/>
      <c r="AL3" s="64"/>
      <c r="AM3" s="64"/>
      <c r="AN3" s="64"/>
      <c r="AO3" s="64"/>
      <c r="AP3" s="84" t="s">
        <v>561</v>
      </c>
      <c r="AQ3" s="84"/>
      <c r="AR3" s="1"/>
      <c r="AS3" s="1"/>
      <c r="AT3" s="1"/>
      <c r="AU3" s="1"/>
      <c r="AV3" s="1"/>
      <c r="AW3" s="1"/>
      <c r="AX3" s="1"/>
      <c r="AY3" s="1"/>
      <c r="AZ3" s="1"/>
      <c r="BA3" s="1"/>
      <c r="BB3" s="1"/>
      <c r="BC3" s="1"/>
      <c r="BD3" s="1"/>
      <c r="BE3" s="1"/>
      <c r="BF3" s="1"/>
      <c r="BG3" s="1"/>
      <c r="BH3" s="1"/>
      <c r="BI3" s="1"/>
    </row>
    <row r="4" spans="1:61">
      <c r="A4" s="64" t="s">
        <v>463</v>
      </c>
      <c r="B4" s="39" t="s">
        <v>114</v>
      </c>
      <c r="C4" s="66">
        <v>45177</v>
      </c>
      <c r="D4" s="1"/>
      <c r="E4" s="1"/>
      <c r="F4" s="1"/>
      <c r="G4" s="1"/>
      <c r="H4" s="1"/>
      <c r="I4" s="1"/>
      <c r="J4" s="1"/>
      <c r="K4" s="1"/>
      <c r="L4" s="39" t="s">
        <v>1003</v>
      </c>
      <c r="M4" s="66">
        <f>C4</f>
        <v>45177</v>
      </c>
      <c r="N4" s="404"/>
      <c r="O4" s="1"/>
      <c r="P4" s="1"/>
      <c r="Q4" s="1"/>
      <c r="R4" s="1"/>
      <c r="S4" s="1"/>
      <c r="T4" s="1"/>
      <c r="U4" s="1"/>
      <c r="V4" s="39" t="s">
        <v>937</v>
      </c>
      <c r="W4" s="66">
        <f>M4</f>
        <v>45177</v>
      </c>
      <c r="X4" s="73">
        <v>0.03</v>
      </c>
      <c r="Y4" s="1"/>
      <c r="Z4" s="1"/>
      <c r="AA4" s="1"/>
      <c r="AB4" s="1"/>
      <c r="AC4" s="1"/>
      <c r="AD4" s="1"/>
      <c r="AE4" s="1"/>
      <c r="AF4" s="39" t="s">
        <v>938</v>
      </c>
      <c r="AG4" s="66">
        <f>W4</f>
        <v>45177</v>
      </c>
      <c r="AH4" s="506">
        <v>-1.4999999999999999E-2</v>
      </c>
      <c r="AI4" s="1"/>
      <c r="AJ4" s="1"/>
      <c r="AK4" s="1"/>
      <c r="AL4" s="1"/>
      <c r="AM4" s="1"/>
      <c r="AN4" s="1"/>
      <c r="AO4" s="1"/>
      <c r="AP4" s="39" t="s">
        <v>734</v>
      </c>
      <c r="AQ4" s="66">
        <f>AG4</f>
        <v>45177</v>
      </c>
      <c r="AR4" s="1"/>
      <c r="AS4" s="1"/>
      <c r="AT4" s="1"/>
      <c r="AU4" s="1"/>
      <c r="AV4" s="1"/>
      <c r="AW4" s="1"/>
      <c r="AX4" s="1"/>
      <c r="AY4" s="1"/>
      <c r="AZ4" s="1"/>
      <c r="BA4" s="1"/>
      <c r="BB4" s="1"/>
      <c r="BC4" s="1"/>
      <c r="BD4" s="1"/>
      <c r="BE4" s="1"/>
      <c r="BF4" s="1"/>
      <c r="BG4" s="1"/>
      <c r="BH4" s="1"/>
      <c r="BI4" s="1"/>
    </row>
    <row r="5" spans="1:61" ht="15" customHeight="1">
      <c r="A5" s="106"/>
      <c r="B5" s="89" t="s">
        <v>745</v>
      </c>
      <c r="C5" s="89" t="s">
        <v>745</v>
      </c>
      <c r="D5" s="89" t="s">
        <v>745</v>
      </c>
      <c r="E5" s="89" t="s">
        <v>562</v>
      </c>
      <c r="F5" s="89" t="s">
        <v>424</v>
      </c>
      <c r="G5" s="89" t="s">
        <v>425</v>
      </c>
      <c r="H5" s="477" t="s">
        <v>770</v>
      </c>
      <c r="I5" s="647" t="str">
        <f ca="1">"Real Nymex Oil Price US$"&amp;current_year&amp;" / BBL"</f>
        <v>Real Nymex Oil Price US$2026 / BBL</v>
      </c>
      <c r="J5" s="644" t="str">
        <f ca="1">"Real HH Gas Price US$"&amp;current_year&amp;" / MMBTU"</f>
        <v>Real HH Gas Price US$2026 / MMBTU</v>
      </c>
      <c r="K5" s="64"/>
      <c r="L5" s="89" t="s">
        <v>745</v>
      </c>
      <c r="M5" s="89" t="s">
        <v>745</v>
      </c>
      <c r="N5" s="90" t="s">
        <v>745</v>
      </c>
      <c r="O5" s="89" t="s">
        <v>562</v>
      </c>
      <c r="P5" s="89" t="s">
        <v>424</v>
      </c>
      <c r="Q5" s="89" t="s">
        <v>425</v>
      </c>
      <c r="R5" s="477" t="s">
        <v>770</v>
      </c>
      <c r="S5" s="647" t="str">
        <f ca="1">"Real Nymex Oil Price US$"&amp;current_year&amp;" / BBL"</f>
        <v>Real Nymex Oil Price US$2026 / BBL</v>
      </c>
      <c r="T5" s="644" t="str">
        <f ca="1">"Real HH Gas Price US$"&amp;current_year&amp;" / MMBTU"</f>
        <v>Real HH Gas Price US$2026 / MMBTU</v>
      </c>
      <c r="U5" s="64"/>
      <c r="V5" s="89" t="s">
        <v>745</v>
      </c>
      <c r="W5" s="89" t="s">
        <v>745</v>
      </c>
      <c r="X5" s="89" t="s">
        <v>745</v>
      </c>
      <c r="Y5" s="89" t="s">
        <v>562</v>
      </c>
      <c r="Z5" s="89" t="s">
        <v>424</v>
      </c>
      <c r="AA5" s="89" t="s">
        <v>425</v>
      </c>
      <c r="AB5" s="477" t="s">
        <v>770</v>
      </c>
      <c r="AC5" s="647" t="str">
        <f ca="1">"Real Nymex Oil Price US$"&amp;current_year&amp;" / BBL"</f>
        <v>Real Nymex Oil Price US$2026 / BBL</v>
      </c>
      <c r="AD5" s="644" t="str">
        <f ca="1">"Real HH Gas Price US$"&amp;current_year&amp;" / MMBTU"</f>
        <v>Real HH Gas Price US$2026 / MMBTU</v>
      </c>
      <c r="AE5" s="64"/>
      <c r="AF5" s="89" t="s">
        <v>745</v>
      </c>
      <c r="AG5" s="89" t="s">
        <v>745</v>
      </c>
      <c r="AH5" s="89" t="s">
        <v>745</v>
      </c>
      <c r="AI5" s="89" t="s">
        <v>562</v>
      </c>
      <c r="AJ5" s="89" t="s">
        <v>424</v>
      </c>
      <c r="AK5" s="89" t="s">
        <v>425</v>
      </c>
      <c r="AL5" s="477" t="s">
        <v>770</v>
      </c>
      <c r="AM5" s="647" t="str">
        <f ca="1">"Real Nymex Oil Price US$"&amp;current_year&amp;" / BBL"</f>
        <v>Real Nymex Oil Price US$2026 / BBL</v>
      </c>
      <c r="AN5" s="644" t="str">
        <f ca="1">"Real HH Gas Price US$"&amp;current_year&amp;" / MMBTU"</f>
        <v>Real HH Gas Price US$2026 / MMBTU</v>
      </c>
      <c r="AO5" s="64"/>
      <c r="AP5" s="89" t="s">
        <v>745</v>
      </c>
      <c r="AQ5" s="89" t="s">
        <v>745</v>
      </c>
      <c r="AR5" s="89" t="s">
        <v>745</v>
      </c>
      <c r="AS5" s="89" t="s">
        <v>562</v>
      </c>
      <c r="AT5" s="89" t="s">
        <v>424</v>
      </c>
      <c r="AU5" s="89" t="s">
        <v>425</v>
      </c>
      <c r="AV5" s="477" t="s">
        <v>770</v>
      </c>
      <c r="AW5" s="647" t="str">
        <f ca="1">"Real Nymex Oil Price US$"&amp;current_year&amp;" / BBL"</f>
        <v>Real Nymex Oil Price US$2026 / BBL</v>
      </c>
      <c r="AX5" s="644" t="str">
        <f ca="1">"Real HH Gas Price US$"&amp;current_year&amp;" / MMBTU"</f>
        <v>Real HH Gas Price US$2026 / MMBTU</v>
      </c>
      <c r="AY5" s="1"/>
      <c r="AZ5" s="1"/>
      <c r="BA5" s="1"/>
      <c r="BB5" s="1"/>
      <c r="BC5" s="1"/>
      <c r="BD5" s="1"/>
      <c r="BE5" s="1"/>
      <c r="BF5" s="1"/>
      <c r="BG5" s="1"/>
      <c r="BH5" s="1"/>
      <c r="BI5" s="1"/>
    </row>
    <row r="6" spans="1:61">
      <c r="A6" s="108" t="s">
        <v>14</v>
      </c>
      <c r="B6" s="90" t="s">
        <v>929</v>
      </c>
      <c r="C6" s="90" t="s">
        <v>746</v>
      </c>
      <c r="D6" s="90" t="s">
        <v>427</v>
      </c>
      <c r="E6" s="90" t="s">
        <v>432</v>
      </c>
      <c r="F6" s="90" t="s">
        <v>426</v>
      </c>
      <c r="G6" s="90" t="s">
        <v>428</v>
      </c>
      <c r="H6" s="503"/>
      <c r="I6" s="648"/>
      <c r="J6" s="645"/>
      <c r="K6" s="64"/>
      <c r="L6" s="90" t="s">
        <v>929</v>
      </c>
      <c r="M6" s="90" t="s">
        <v>746</v>
      </c>
      <c r="N6" s="90" t="s">
        <v>427</v>
      </c>
      <c r="O6" s="90" t="s">
        <v>432</v>
      </c>
      <c r="P6" s="90" t="s">
        <v>426</v>
      </c>
      <c r="Q6" s="90" t="s">
        <v>428</v>
      </c>
      <c r="R6" s="503"/>
      <c r="S6" s="648"/>
      <c r="T6" s="645"/>
      <c r="U6" s="64"/>
      <c r="V6" s="90" t="s">
        <v>929</v>
      </c>
      <c r="W6" s="90" t="s">
        <v>746</v>
      </c>
      <c r="X6" s="90" t="s">
        <v>427</v>
      </c>
      <c r="Y6" s="90" t="s">
        <v>432</v>
      </c>
      <c r="Z6" s="90" t="s">
        <v>426</v>
      </c>
      <c r="AA6" s="90" t="s">
        <v>428</v>
      </c>
      <c r="AB6" s="503"/>
      <c r="AC6" s="648"/>
      <c r="AD6" s="645"/>
      <c r="AE6" s="64"/>
      <c r="AF6" s="90" t="s">
        <v>929</v>
      </c>
      <c r="AG6" s="90" t="s">
        <v>746</v>
      </c>
      <c r="AH6" s="90" t="s">
        <v>427</v>
      </c>
      <c r="AI6" s="90" t="s">
        <v>432</v>
      </c>
      <c r="AJ6" s="90" t="s">
        <v>426</v>
      </c>
      <c r="AK6" s="90" t="s">
        <v>428</v>
      </c>
      <c r="AL6" s="503"/>
      <c r="AM6" s="648"/>
      <c r="AN6" s="645"/>
      <c r="AO6" s="64"/>
      <c r="AP6" s="90" t="s">
        <v>929</v>
      </c>
      <c r="AQ6" s="90" t="s">
        <v>746</v>
      </c>
      <c r="AR6" s="90" t="s">
        <v>427</v>
      </c>
      <c r="AS6" s="90" t="s">
        <v>432</v>
      </c>
      <c r="AT6" s="90" t="s">
        <v>426</v>
      </c>
      <c r="AU6" s="90" t="s">
        <v>428</v>
      </c>
      <c r="AV6" s="503"/>
      <c r="AW6" s="648"/>
      <c r="AX6" s="645"/>
      <c r="AY6" s="1"/>
      <c r="AZ6" s="1"/>
      <c r="BA6" s="1"/>
      <c r="BB6" s="1"/>
      <c r="BC6" s="1"/>
      <c r="BD6" s="1"/>
      <c r="BE6" s="1"/>
      <c r="BF6" s="1"/>
      <c r="BG6" s="1"/>
      <c r="BH6" s="1"/>
      <c r="BI6" s="1"/>
    </row>
    <row r="7" spans="1:61">
      <c r="A7" s="110"/>
      <c r="B7" s="97" t="s">
        <v>429</v>
      </c>
      <c r="C7" s="97" t="s">
        <v>429</v>
      </c>
      <c r="D7" s="97" t="s">
        <v>430</v>
      </c>
      <c r="E7" s="97" t="s">
        <v>431</v>
      </c>
      <c r="F7" s="97"/>
      <c r="G7" s="97" t="s">
        <v>432</v>
      </c>
      <c r="H7" s="504"/>
      <c r="I7" s="649"/>
      <c r="J7" s="646"/>
      <c r="K7" s="64"/>
      <c r="L7" s="97" t="s">
        <v>429</v>
      </c>
      <c r="M7" s="97" t="s">
        <v>429</v>
      </c>
      <c r="N7" s="97" t="s">
        <v>430</v>
      </c>
      <c r="O7" s="97" t="s">
        <v>431</v>
      </c>
      <c r="P7" s="97"/>
      <c r="Q7" s="97" t="s">
        <v>432</v>
      </c>
      <c r="R7" s="504"/>
      <c r="S7" s="649"/>
      <c r="T7" s="646"/>
      <c r="U7" s="64"/>
      <c r="V7" s="97" t="s">
        <v>429</v>
      </c>
      <c r="W7" s="97" t="s">
        <v>429</v>
      </c>
      <c r="X7" s="97" t="s">
        <v>430</v>
      </c>
      <c r="Y7" s="97" t="s">
        <v>431</v>
      </c>
      <c r="Z7" s="97"/>
      <c r="AA7" s="97" t="s">
        <v>432</v>
      </c>
      <c r="AB7" s="504"/>
      <c r="AC7" s="649"/>
      <c r="AD7" s="646"/>
      <c r="AE7" s="64"/>
      <c r="AF7" s="97" t="s">
        <v>429</v>
      </c>
      <c r="AG7" s="97" t="s">
        <v>429</v>
      </c>
      <c r="AH7" s="97" t="s">
        <v>430</v>
      </c>
      <c r="AI7" s="97" t="s">
        <v>431</v>
      </c>
      <c r="AJ7" s="97"/>
      <c r="AK7" s="97" t="s">
        <v>432</v>
      </c>
      <c r="AL7" s="504"/>
      <c r="AM7" s="649"/>
      <c r="AN7" s="646"/>
      <c r="AO7" s="64"/>
      <c r="AP7" s="97" t="s">
        <v>429</v>
      </c>
      <c r="AQ7" s="97" t="s">
        <v>429</v>
      </c>
      <c r="AR7" s="97" t="s">
        <v>430</v>
      </c>
      <c r="AS7" s="97" t="s">
        <v>431</v>
      </c>
      <c r="AT7" s="97"/>
      <c r="AU7" s="97" t="s">
        <v>432</v>
      </c>
      <c r="AV7" s="504"/>
      <c r="AW7" s="649"/>
      <c r="AX7" s="646"/>
      <c r="AY7" s="1"/>
      <c r="AZ7" s="1"/>
      <c r="BA7" s="1"/>
      <c r="BB7" s="1"/>
      <c r="BC7" s="1"/>
      <c r="BD7" s="1"/>
      <c r="BE7" s="1"/>
      <c r="BF7" s="1"/>
      <c r="BG7" s="1"/>
      <c r="BH7" s="1"/>
      <c r="BI7" s="1"/>
    </row>
    <row r="8" spans="1:61">
      <c r="A8" s="64"/>
      <c r="B8" s="1"/>
      <c r="C8" s="1"/>
      <c r="D8" s="1"/>
      <c r="E8" s="1"/>
      <c r="F8" s="1"/>
      <c r="G8" s="1"/>
      <c r="H8" s="31"/>
      <c r="I8" s="1"/>
      <c r="J8" s="1"/>
      <c r="K8" s="1"/>
      <c r="L8" s="1"/>
      <c r="M8" s="1"/>
      <c r="N8" s="1"/>
      <c r="O8" s="1"/>
      <c r="P8" s="1"/>
      <c r="Q8" s="1"/>
      <c r="R8" s="31"/>
      <c r="S8" s="1"/>
      <c r="T8" s="1"/>
      <c r="U8" s="1"/>
      <c r="V8" s="1"/>
      <c r="W8" s="1"/>
      <c r="X8" s="1"/>
      <c r="Y8" s="1"/>
      <c r="Z8" s="1"/>
      <c r="AA8" s="1"/>
      <c r="AB8" s="31"/>
      <c r="AC8" s="1"/>
      <c r="AD8" s="1"/>
      <c r="AE8" s="1"/>
      <c r="AF8" s="1"/>
      <c r="AG8" s="1"/>
      <c r="AH8" s="1"/>
      <c r="AI8" s="1"/>
      <c r="AJ8" s="1"/>
      <c r="AK8" s="1"/>
      <c r="AL8" s="31"/>
      <c r="AM8" s="1"/>
      <c r="AN8" s="1"/>
      <c r="AO8" s="1"/>
      <c r="AP8" s="1"/>
      <c r="AQ8" s="1"/>
      <c r="AR8" s="1"/>
      <c r="AS8" s="1"/>
      <c r="AT8" s="1"/>
      <c r="AU8" s="1"/>
      <c r="AV8" s="31"/>
      <c r="AW8" s="1"/>
      <c r="AX8" s="1"/>
      <c r="AY8" s="1"/>
      <c r="AZ8" s="1"/>
      <c r="BA8" s="1"/>
      <c r="BB8" s="1"/>
      <c r="BC8" s="1"/>
      <c r="BD8" s="1"/>
      <c r="BE8" s="1"/>
      <c r="BF8" s="1"/>
      <c r="BG8" s="1"/>
      <c r="BH8" s="1"/>
      <c r="BI8" s="1"/>
    </row>
    <row r="9" spans="1:61" ht="30">
      <c r="A9" s="135" t="s">
        <v>747</v>
      </c>
      <c r="B9" s="40">
        <v>-4</v>
      </c>
      <c r="C9" s="40">
        <v>-5</v>
      </c>
      <c r="D9" s="40">
        <v>-0.5</v>
      </c>
      <c r="E9" s="1"/>
      <c r="F9" s="1"/>
      <c r="G9" s="1"/>
      <c r="H9" s="1"/>
      <c r="I9" s="1"/>
      <c r="J9" s="1"/>
      <c r="K9" s="1"/>
      <c r="L9" s="129">
        <f>$B$9</f>
        <v>-4</v>
      </c>
      <c r="M9" s="129">
        <f>$C$9</f>
        <v>-5</v>
      </c>
      <c r="N9" s="129">
        <f>$D$9</f>
        <v>-0.5</v>
      </c>
      <c r="O9" s="64"/>
      <c r="P9" s="64"/>
      <c r="Q9" s="64"/>
      <c r="R9" s="64"/>
      <c r="S9" s="64"/>
      <c r="T9" s="64"/>
      <c r="U9" s="64"/>
      <c r="V9" s="129">
        <f>$B$9</f>
        <v>-4</v>
      </c>
      <c r="W9" s="129">
        <f>$C$9</f>
        <v>-5</v>
      </c>
      <c r="X9" s="129">
        <f>$D$9</f>
        <v>-0.5</v>
      </c>
      <c r="Y9" s="64"/>
      <c r="Z9" s="64"/>
      <c r="AA9" s="64"/>
      <c r="AB9" s="64"/>
      <c r="AC9" s="64"/>
      <c r="AD9" s="64"/>
      <c r="AE9" s="64"/>
      <c r="AF9" s="129">
        <f>$B$9</f>
        <v>-4</v>
      </c>
      <c r="AG9" s="129">
        <f>$C$9</f>
        <v>-5</v>
      </c>
      <c r="AH9" s="129">
        <f>$D$9</f>
        <v>-0.5</v>
      </c>
      <c r="AI9" s="64"/>
      <c r="AJ9" s="64"/>
      <c r="AK9" s="64"/>
      <c r="AL9" s="64"/>
      <c r="AM9" s="64"/>
      <c r="AN9" s="64"/>
      <c r="AO9" s="64"/>
      <c r="AP9" s="129">
        <f>$B$9</f>
        <v>-4</v>
      </c>
      <c r="AQ9" s="129">
        <f>$C$9</f>
        <v>-5</v>
      </c>
      <c r="AR9" s="129">
        <f>$D$9</f>
        <v>-0.5</v>
      </c>
      <c r="AS9" s="64"/>
      <c r="AT9" s="64"/>
      <c r="AU9" s="64"/>
      <c r="AV9" s="64"/>
      <c r="AW9" s="64"/>
      <c r="AX9" s="64"/>
      <c r="AY9" s="64"/>
      <c r="AZ9" s="64"/>
      <c r="BA9" s="64"/>
      <c r="BB9" s="1"/>
      <c r="BC9" s="1"/>
      <c r="BD9" s="1"/>
      <c r="BE9" s="1"/>
      <c r="BF9" s="1"/>
      <c r="BG9" s="1"/>
      <c r="BH9" s="1"/>
      <c r="BI9" s="1"/>
    </row>
    <row r="10" spans="1:61">
      <c r="A10" s="64"/>
      <c r="B10" s="1"/>
      <c r="C10" s="1"/>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row>
    <row r="11" spans="1:61">
      <c r="A11" s="64"/>
      <c r="B11" s="1"/>
      <c r="C11" s="1"/>
      <c r="D11" s="1"/>
      <c r="E11" s="1"/>
      <c r="F11" s="1"/>
      <c r="G11" s="1"/>
      <c r="H11" s="32"/>
      <c r="I11" s="1"/>
      <c r="J11" s="1"/>
      <c r="K11" s="1"/>
      <c r="L11" s="1"/>
      <c r="M11" s="1"/>
      <c r="N11" s="1"/>
      <c r="O11" s="1"/>
      <c r="P11" s="1"/>
      <c r="Q11" s="1"/>
      <c r="R11" s="32"/>
      <c r="S11" s="1"/>
      <c r="T11" s="1"/>
      <c r="U11" s="1"/>
      <c r="V11" s="1"/>
      <c r="W11" s="1"/>
      <c r="X11" s="1"/>
      <c r="Y11" s="1"/>
      <c r="Z11" s="1"/>
      <c r="AA11" s="1"/>
      <c r="AB11" s="32"/>
      <c r="AC11" s="1"/>
      <c r="AD11" s="1"/>
      <c r="AE11" s="1"/>
      <c r="AF11" s="1"/>
      <c r="AG11" s="1"/>
      <c r="AH11" s="1"/>
      <c r="AI11" s="1"/>
      <c r="AJ11" s="1"/>
      <c r="AK11" s="1"/>
      <c r="AL11" s="32"/>
      <c r="AM11" s="1"/>
      <c r="AN11" s="1"/>
      <c r="AO11" s="1"/>
      <c r="AP11" s="1"/>
      <c r="AQ11" s="1"/>
      <c r="AR11" s="1"/>
      <c r="AS11" s="1"/>
      <c r="AT11" s="1"/>
      <c r="AU11" s="1"/>
      <c r="AV11" s="32"/>
      <c r="AW11" s="1"/>
      <c r="AX11" s="1"/>
      <c r="AY11" s="1"/>
      <c r="AZ11" s="1"/>
      <c r="BA11" s="1"/>
      <c r="BB11" s="1"/>
      <c r="BC11" s="1"/>
      <c r="BD11" s="1"/>
      <c r="BE11" s="1"/>
      <c r="BF11" s="1"/>
      <c r="BG11" s="1"/>
      <c r="BH11" s="1"/>
      <c r="BI11" s="1"/>
    </row>
    <row r="12" spans="1:61">
      <c r="A12" s="106">
        <v>2020</v>
      </c>
      <c r="B12" s="40">
        <f>C12*0.8</f>
        <v>31.327999999999999</v>
      </c>
      <c r="C12" s="40">
        <v>39.159999999999997</v>
      </c>
      <c r="D12" s="40">
        <v>2</v>
      </c>
      <c r="E12" s="40">
        <v>0.75</v>
      </c>
      <c r="F12" s="34">
        <v>3.5000000000000003E-2</v>
      </c>
      <c r="G12" s="34">
        <f>F12*0.85</f>
        <v>2.9750000000000002E-2</v>
      </c>
      <c r="H12" s="126">
        <f t="shared" ref="H12:H43" ca="1" si="0">IF($A12=current_year,1,IF($A12&lt;current_year,H13*(1+F12),H11/(1+F12)))</f>
        <v>1.3226050535707976</v>
      </c>
      <c r="I12" s="126">
        <f t="shared" ref="I12:I43" ca="1" si="1">C12*H12</f>
        <v>51.79321389783243</v>
      </c>
      <c r="J12" s="129">
        <f t="shared" ref="J12:J43" ca="1" si="2">D12*H12</f>
        <v>2.6452101071415952</v>
      </c>
      <c r="K12" s="1"/>
      <c r="L12" s="40">
        <f t="shared" ref="L12:P14" si="3">B12</f>
        <v>31.327999999999999</v>
      </c>
      <c r="M12" s="40">
        <f t="shared" si="3"/>
        <v>39.159999999999997</v>
      </c>
      <c r="N12" s="40">
        <f t="shared" si="3"/>
        <v>2</v>
      </c>
      <c r="O12" s="40">
        <f t="shared" si="3"/>
        <v>0.75</v>
      </c>
      <c r="P12" s="34">
        <f t="shared" si="3"/>
        <v>3.5000000000000003E-2</v>
      </c>
      <c r="Q12" s="34">
        <f>P12*0.85</f>
        <v>2.9750000000000002E-2</v>
      </c>
      <c r="R12" s="126">
        <f t="shared" ref="R12:R43" ca="1" si="4">IF($A12=current_year,1,IF($A12&lt;current_year,R13*(1+P12),R11/(1+P12)))</f>
        <v>1.3732983012872073</v>
      </c>
      <c r="S12" s="63">
        <f t="shared" ref="S12:S43" ca="1" si="5">M12*R12</f>
        <v>53.778361478407035</v>
      </c>
      <c r="T12" s="6">
        <f t="shared" ref="T12:T43" ca="1" si="6">N12*R12</f>
        <v>2.7465966025744146</v>
      </c>
      <c r="U12" s="1"/>
      <c r="V12" s="40">
        <f>$B12</f>
        <v>31.327999999999999</v>
      </c>
      <c r="W12" s="40">
        <f>$C12</f>
        <v>39.159999999999997</v>
      </c>
      <c r="X12" s="40">
        <f>$D12</f>
        <v>2</v>
      </c>
      <c r="Y12" s="40">
        <f>O12</f>
        <v>0.75</v>
      </c>
      <c r="Z12" s="34">
        <v>2.5000000000000001E-2</v>
      </c>
      <c r="AA12" s="34">
        <v>2.5000000000000001E-2</v>
      </c>
      <c r="AB12" s="126">
        <f t="shared" ref="AB12:AB43" ca="1" si="7">IF($A12=current_year,1,IF($A12&lt;current_year,AB13*(1+Z12),AB11/(1+Z12)))</f>
        <v>1.1596934182128902</v>
      </c>
      <c r="AC12" s="63">
        <f t="shared" ref="AC12:AC43" ca="1" si="8">W12*AB12</f>
        <v>45.413594257216772</v>
      </c>
      <c r="AD12" s="6">
        <f t="shared" ref="AD12:AD43" ca="1" si="9">X12*AB12</f>
        <v>2.3193868364257804</v>
      </c>
      <c r="AE12" s="1"/>
      <c r="AF12" s="40">
        <f>$B12</f>
        <v>31.327999999999999</v>
      </c>
      <c r="AG12" s="40">
        <f>$C12</f>
        <v>39.159999999999997</v>
      </c>
      <c r="AH12" s="40">
        <f>$D12</f>
        <v>2</v>
      </c>
      <c r="AI12" s="40">
        <f>E12</f>
        <v>0.75</v>
      </c>
      <c r="AJ12" s="34">
        <v>2.5000000000000001E-2</v>
      </c>
      <c r="AK12" s="34">
        <v>2.5000000000000001E-2</v>
      </c>
      <c r="AL12" s="126">
        <f t="shared" ref="AL12:AL43" ca="1" si="10">IF($A12=current_year,1,IF($A12&lt;current_year,AL13*(1+AJ12),AL11/(1+AJ12)))</f>
        <v>1.1596934182128902</v>
      </c>
      <c r="AM12" s="63">
        <f t="shared" ref="AM12:AM43" ca="1" si="11">AG12*AL12</f>
        <v>45.413594257216772</v>
      </c>
      <c r="AN12" s="6">
        <f t="shared" ref="AN12:AN43" ca="1" si="12">AH12*AL12</f>
        <v>2.3193868364257804</v>
      </c>
      <c r="AO12" s="1"/>
      <c r="AP12" s="40">
        <f>$B12</f>
        <v>31.327999999999999</v>
      </c>
      <c r="AQ12" s="40">
        <f>$C12</f>
        <v>39.159999999999997</v>
      </c>
      <c r="AR12" s="40">
        <f>$D12</f>
        <v>2</v>
      </c>
      <c r="AS12" s="40">
        <f>E12</f>
        <v>0.75</v>
      </c>
      <c r="AT12" s="34">
        <v>2.5000000000000001E-2</v>
      </c>
      <c r="AU12" s="34">
        <v>2.5000000000000001E-2</v>
      </c>
      <c r="AV12" s="126">
        <f t="shared" ref="AV12:AV43" ca="1" si="13">IF($A12=current_year,1,IF($A12&lt;current_year,AV13*(1+AT12),AV11/(1+AT12)))</f>
        <v>1.1596934182128902</v>
      </c>
      <c r="AW12" s="63">
        <f t="shared" ref="AW12:AW43" ca="1" si="14">AQ12*AV12</f>
        <v>45.413594257216772</v>
      </c>
      <c r="AX12" s="6">
        <f t="shared" ref="AX12:AX43" ca="1" si="15">AR12*AV12</f>
        <v>2.3193868364257804</v>
      </c>
      <c r="AY12" s="1"/>
      <c r="AZ12" s="1"/>
      <c r="BA12" s="1"/>
      <c r="BB12" s="1"/>
      <c r="BC12" s="1"/>
      <c r="BD12" s="1"/>
      <c r="BE12" s="1"/>
      <c r="BF12" s="1"/>
      <c r="BG12" s="1"/>
      <c r="BH12" s="1"/>
      <c r="BI12" s="1"/>
    </row>
    <row r="13" spans="1:61">
      <c r="A13" s="108">
        <f>A12+1</f>
        <v>2021</v>
      </c>
      <c r="B13" s="40">
        <f t="shared" ref="B13:B76" si="16">C13*0.8</f>
        <v>54.503999999999998</v>
      </c>
      <c r="C13" s="40">
        <v>68.13</v>
      </c>
      <c r="D13" s="40">
        <v>3.9</v>
      </c>
      <c r="E13" s="40">
        <v>0.78</v>
      </c>
      <c r="F13" s="34">
        <v>4.4999999999999998E-2</v>
      </c>
      <c r="G13" s="34">
        <v>1.7000000000000001E-2</v>
      </c>
      <c r="H13" s="126">
        <f t="shared" ca="1" si="0"/>
        <v>1.277879278812365</v>
      </c>
      <c r="I13" s="126">
        <f t="shared" ca="1" si="1"/>
        <v>87.061915265486419</v>
      </c>
      <c r="J13" s="129">
        <f t="shared" ca="1" si="2"/>
        <v>4.9837291873682235</v>
      </c>
      <c r="K13" s="1"/>
      <c r="L13" s="40">
        <f t="shared" si="3"/>
        <v>54.503999999999998</v>
      </c>
      <c r="M13" s="40">
        <f t="shared" si="3"/>
        <v>68.13</v>
      </c>
      <c r="N13" s="40">
        <f t="shared" si="3"/>
        <v>3.9</v>
      </c>
      <c r="O13" s="40">
        <f t="shared" si="3"/>
        <v>0.78</v>
      </c>
      <c r="P13" s="34">
        <f t="shared" si="3"/>
        <v>4.4999999999999998E-2</v>
      </c>
      <c r="Q13" s="34">
        <f t="shared" ref="Q13:Q76" si="17">P13*0.85</f>
        <v>3.8249999999999999E-2</v>
      </c>
      <c r="R13" s="126">
        <f t="shared" ca="1" si="4"/>
        <v>1.3268582621132439</v>
      </c>
      <c r="S13" s="63">
        <f t="shared" ca="1" si="5"/>
        <v>90.398853397775298</v>
      </c>
      <c r="T13" s="6">
        <f t="shared" ca="1" si="6"/>
        <v>5.1747472222416508</v>
      </c>
      <c r="U13" s="1"/>
      <c r="V13" s="40">
        <f>$B13</f>
        <v>54.503999999999998</v>
      </c>
      <c r="W13" s="40">
        <f>$C13</f>
        <v>68.13</v>
      </c>
      <c r="X13" s="40">
        <f>$D13</f>
        <v>3.9</v>
      </c>
      <c r="Y13" s="40">
        <f t="shared" ref="Y13:Y60" si="18">O13</f>
        <v>0.78</v>
      </c>
      <c r="Z13" s="34">
        <v>2.5000000000000001E-2</v>
      </c>
      <c r="AA13" s="34">
        <f t="shared" ref="AA13:AA76" si="19">AA12</f>
        <v>2.5000000000000001E-2</v>
      </c>
      <c r="AB13" s="126">
        <f t="shared" ca="1" si="7"/>
        <v>1.1314082128906247</v>
      </c>
      <c r="AC13" s="63">
        <f t="shared" ca="1" si="8"/>
        <v>77.082841544238249</v>
      </c>
      <c r="AD13" s="6">
        <f t="shared" ca="1" si="9"/>
        <v>4.4124920302734356</v>
      </c>
      <c r="AE13" s="1"/>
      <c r="AF13" s="40">
        <f>$B13</f>
        <v>54.503999999999998</v>
      </c>
      <c r="AG13" s="40">
        <f>$C13</f>
        <v>68.13</v>
      </c>
      <c r="AH13" s="40">
        <f>$D13</f>
        <v>3.9</v>
      </c>
      <c r="AI13" s="40">
        <f t="shared" ref="AI13:AI60" si="20">E13</f>
        <v>0.78</v>
      </c>
      <c r="AJ13" s="34">
        <v>2.5000000000000001E-2</v>
      </c>
      <c r="AK13" s="34">
        <f t="shared" ref="AK13:AK76" si="21">AK12</f>
        <v>2.5000000000000001E-2</v>
      </c>
      <c r="AL13" s="126">
        <f t="shared" ca="1" si="10"/>
        <v>1.1314082128906247</v>
      </c>
      <c r="AM13" s="63">
        <f t="shared" ca="1" si="11"/>
        <v>77.082841544238249</v>
      </c>
      <c r="AN13" s="6">
        <f t="shared" ca="1" si="12"/>
        <v>4.4124920302734356</v>
      </c>
      <c r="AO13" s="1"/>
      <c r="AP13" s="40">
        <f>$B13</f>
        <v>54.503999999999998</v>
      </c>
      <c r="AQ13" s="40">
        <f>$C13</f>
        <v>68.13</v>
      </c>
      <c r="AR13" s="40">
        <f>$D13</f>
        <v>3.9</v>
      </c>
      <c r="AS13" s="40">
        <f t="shared" ref="AS13:AS60" si="22">E13</f>
        <v>0.78</v>
      </c>
      <c r="AT13" s="34">
        <v>2.5000000000000001E-2</v>
      </c>
      <c r="AU13" s="34">
        <f t="shared" ref="AU13:AU76" si="23">AU12</f>
        <v>2.5000000000000001E-2</v>
      </c>
      <c r="AV13" s="126">
        <f t="shared" ca="1" si="13"/>
        <v>1.1314082128906247</v>
      </c>
      <c r="AW13" s="63">
        <f t="shared" ca="1" si="14"/>
        <v>77.082841544238249</v>
      </c>
      <c r="AX13" s="6">
        <f t="shared" ca="1" si="15"/>
        <v>4.4124920302734356</v>
      </c>
      <c r="AY13" s="1"/>
      <c r="AZ13" s="1"/>
      <c r="BA13" s="1"/>
      <c r="BB13" s="1"/>
      <c r="BC13" s="1"/>
      <c r="BD13" s="1"/>
      <c r="BE13" s="1"/>
      <c r="BF13" s="1"/>
      <c r="BG13" s="1"/>
      <c r="BH13" s="1"/>
      <c r="BI13" s="1"/>
    </row>
    <row r="14" spans="1:61">
      <c r="A14" s="108">
        <f t="shared" ref="A14:A77" si="24">A13+1</f>
        <v>2022</v>
      </c>
      <c r="B14" s="40">
        <f t="shared" si="16"/>
        <v>75.92</v>
      </c>
      <c r="C14" s="40">
        <v>94.9</v>
      </c>
      <c r="D14" s="40">
        <v>6.4</v>
      </c>
      <c r="E14" s="40">
        <v>0.75</v>
      </c>
      <c r="F14" s="34">
        <v>7.0000000000000007E-2</v>
      </c>
      <c r="G14" s="34">
        <v>3.5000000000000003E-2</v>
      </c>
      <c r="H14" s="126">
        <f t="shared" ca="1" si="0"/>
        <v>1.2228509845094402</v>
      </c>
      <c r="I14" s="126">
        <f t="shared" ca="1" si="1"/>
        <v>116.04855842994588</v>
      </c>
      <c r="J14" s="129">
        <f t="shared" ca="1" si="2"/>
        <v>7.8262463008604177</v>
      </c>
      <c r="K14" s="1"/>
      <c r="L14" s="40">
        <f t="shared" si="3"/>
        <v>75.92</v>
      </c>
      <c r="M14" s="40">
        <f t="shared" si="3"/>
        <v>94.9</v>
      </c>
      <c r="N14" s="40">
        <f t="shared" si="3"/>
        <v>6.4</v>
      </c>
      <c r="O14" s="40">
        <f t="shared" si="3"/>
        <v>0.75</v>
      </c>
      <c r="P14" s="34">
        <f t="shared" si="3"/>
        <v>7.0000000000000007E-2</v>
      </c>
      <c r="Q14" s="34">
        <f t="shared" si="17"/>
        <v>5.9500000000000004E-2</v>
      </c>
      <c r="R14" s="126">
        <f t="shared" ca="1" si="4"/>
        <v>1.2697208249887502</v>
      </c>
      <c r="S14" s="63">
        <f t="shared" ca="1" si="5"/>
        <v>120.4965062914324</v>
      </c>
      <c r="T14" s="6">
        <f t="shared" ca="1" si="6"/>
        <v>8.1262132799280007</v>
      </c>
      <c r="U14" s="1"/>
      <c r="V14" s="40">
        <f>$B14</f>
        <v>75.92</v>
      </c>
      <c r="W14" s="40">
        <f>$C14</f>
        <v>94.9</v>
      </c>
      <c r="X14" s="40">
        <f>$D14</f>
        <v>6.4</v>
      </c>
      <c r="Y14" s="40">
        <f t="shared" si="18"/>
        <v>0.75</v>
      </c>
      <c r="Z14" s="34">
        <v>2.5000000000000001E-2</v>
      </c>
      <c r="AA14" s="34">
        <f t="shared" si="19"/>
        <v>2.5000000000000001E-2</v>
      </c>
      <c r="AB14" s="126">
        <f t="shared" ca="1" si="7"/>
        <v>1.1038128906249998</v>
      </c>
      <c r="AC14" s="63">
        <f t="shared" ca="1" si="8"/>
        <v>104.75184332031249</v>
      </c>
      <c r="AD14" s="6">
        <f t="shared" ca="1" si="9"/>
        <v>7.064402499999999</v>
      </c>
      <c r="AE14" s="1"/>
      <c r="AF14" s="40">
        <f>$B14</f>
        <v>75.92</v>
      </c>
      <c r="AG14" s="40">
        <f>$C14</f>
        <v>94.9</v>
      </c>
      <c r="AH14" s="40">
        <f>$D14</f>
        <v>6.4</v>
      </c>
      <c r="AI14" s="40">
        <f t="shared" si="20"/>
        <v>0.75</v>
      </c>
      <c r="AJ14" s="34">
        <v>2.5000000000000001E-2</v>
      </c>
      <c r="AK14" s="34">
        <f t="shared" si="21"/>
        <v>2.5000000000000001E-2</v>
      </c>
      <c r="AL14" s="126">
        <f t="shared" ca="1" si="10"/>
        <v>1.1038128906249998</v>
      </c>
      <c r="AM14" s="63">
        <f t="shared" ca="1" si="11"/>
        <v>104.75184332031249</v>
      </c>
      <c r="AN14" s="6">
        <f t="shared" ca="1" si="12"/>
        <v>7.064402499999999</v>
      </c>
      <c r="AO14" s="1"/>
      <c r="AP14" s="40">
        <f>$B14</f>
        <v>75.92</v>
      </c>
      <c r="AQ14" s="40">
        <f>$C14</f>
        <v>94.9</v>
      </c>
      <c r="AR14" s="40">
        <f>$D14</f>
        <v>6.4</v>
      </c>
      <c r="AS14" s="40">
        <f t="shared" si="22"/>
        <v>0.75</v>
      </c>
      <c r="AT14" s="34">
        <v>2.5000000000000001E-2</v>
      </c>
      <c r="AU14" s="34">
        <f t="shared" si="23"/>
        <v>2.5000000000000001E-2</v>
      </c>
      <c r="AV14" s="126">
        <f t="shared" ca="1" si="13"/>
        <v>1.1038128906249998</v>
      </c>
      <c r="AW14" s="63">
        <f t="shared" ca="1" si="14"/>
        <v>104.75184332031249</v>
      </c>
      <c r="AX14" s="6">
        <f t="shared" ca="1" si="15"/>
        <v>7.064402499999999</v>
      </c>
      <c r="AY14" s="1"/>
      <c r="AZ14" s="1"/>
      <c r="BA14" s="1"/>
      <c r="BB14" s="404"/>
      <c r="BC14" s="1"/>
      <c r="BD14" s="1"/>
      <c r="BE14" s="1"/>
      <c r="BF14" s="1"/>
      <c r="BG14" s="1"/>
      <c r="BH14" s="1"/>
      <c r="BI14" s="1"/>
    </row>
    <row r="15" spans="1:61">
      <c r="A15" s="108">
        <f t="shared" si="24"/>
        <v>2023</v>
      </c>
      <c r="B15" s="40">
        <f t="shared" si="16"/>
        <v>68</v>
      </c>
      <c r="C15" s="40">
        <v>85</v>
      </c>
      <c r="D15" s="40">
        <v>2.75</v>
      </c>
      <c r="E15" s="40">
        <v>0.73</v>
      </c>
      <c r="F15" s="34">
        <f>F14*0.8</f>
        <v>5.6000000000000008E-2</v>
      </c>
      <c r="G15" s="34">
        <v>3.5000000000000003E-2</v>
      </c>
      <c r="H15" s="126">
        <f t="shared" ca="1" si="0"/>
        <v>1.1428513873920001</v>
      </c>
      <c r="I15" s="126">
        <f t="shared" ca="1" si="1"/>
        <v>97.142367928320013</v>
      </c>
      <c r="J15" s="129">
        <f t="shared" ca="1" si="2"/>
        <v>3.1428413153280004</v>
      </c>
      <c r="K15" s="1"/>
      <c r="L15" s="40">
        <f>B15</f>
        <v>68</v>
      </c>
      <c r="M15" s="40">
        <f>C15</f>
        <v>85</v>
      </c>
      <c r="N15" s="40">
        <f>D15</f>
        <v>2.75</v>
      </c>
      <c r="O15" s="40">
        <f>E15</f>
        <v>0.73</v>
      </c>
      <c r="P15" s="34">
        <v>6.5000000000000002E-2</v>
      </c>
      <c r="Q15" s="34">
        <f t="shared" si="17"/>
        <v>5.525E-2</v>
      </c>
      <c r="R15" s="126">
        <f t="shared" ca="1" si="4"/>
        <v>1.1866549766250001</v>
      </c>
      <c r="S15" s="63">
        <f t="shared" ca="1" si="5"/>
        <v>100.865673013125</v>
      </c>
      <c r="T15" s="6">
        <f t="shared" ca="1" si="6"/>
        <v>3.2633011857187504</v>
      </c>
      <c r="U15" s="1"/>
      <c r="V15" s="40">
        <f>$B15</f>
        <v>68</v>
      </c>
      <c r="W15" s="40">
        <f>$C15</f>
        <v>85</v>
      </c>
      <c r="X15" s="40">
        <f>$D15</f>
        <v>2.75</v>
      </c>
      <c r="Y15" s="40">
        <f t="shared" si="18"/>
        <v>0.73</v>
      </c>
      <c r="Z15" s="34">
        <v>2.5000000000000001E-2</v>
      </c>
      <c r="AA15" s="34">
        <f t="shared" si="19"/>
        <v>2.5000000000000001E-2</v>
      </c>
      <c r="AB15" s="126">
        <f t="shared" ca="1" si="7"/>
        <v>1.0768906249999999</v>
      </c>
      <c r="AC15" s="63">
        <f t="shared" ca="1" si="8"/>
        <v>91.535703124999984</v>
      </c>
      <c r="AD15" s="6">
        <f t="shared" ca="1" si="9"/>
        <v>2.9614492187499994</v>
      </c>
      <c r="AE15" s="1"/>
      <c r="AF15" s="40">
        <f>$B15</f>
        <v>68</v>
      </c>
      <c r="AG15" s="40">
        <f>$C15</f>
        <v>85</v>
      </c>
      <c r="AH15" s="40">
        <f>$D15</f>
        <v>2.75</v>
      </c>
      <c r="AI15" s="40">
        <f t="shared" si="20"/>
        <v>0.73</v>
      </c>
      <c r="AJ15" s="34">
        <v>2.5000000000000001E-2</v>
      </c>
      <c r="AK15" s="34">
        <f t="shared" si="21"/>
        <v>2.5000000000000001E-2</v>
      </c>
      <c r="AL15" s="126">
        <f t="shared" ca="1" si="10"/>
        <v>1.0768906249999999</v>
      </c>
      <c r="AM15" s="63">
        <f t="shared" ca="1" si="11"/>
        <v>91.535703124999984</v>
      </c>
      <c r="AN15" s="6">
        <f t="shared" ca="1" si="12"/>
        <v>2.9614492187499994</v>
      </c>
      <c r="AO15" s="1"/>
      <c r="AP15" s="40">
        <f>$B15</f>
        <v>68</v>
      </c>
      <c r="AQ15" s="40">
        <f>$C15</f>
        <v>85</v>
      </c>
      <c r="AR15" s="40">
        <f>$D15</f>
        <v>2.75</v>
      </c>
      <c r="AS15" s="40">
        <f t="shared" si="22"/>
        <v>0.73</v>
      </c>
      <c r="AT15" s="34">
        <v>2.5000000000000001E-2</v>
      </c>
      <c r="AU15" s="34">
        <f t="shared" si="23"/>
        <v>2.5000000000000001E-2</v>
      </c>
      <c r="AV15" s="126">
        <f t="shared" ca="1" si="13"/>
        <v>1.0768906249999999</v>
      </c>
      <c r="AW15" s="63">
        <f t="shared" ca="1" si="14"/>
        <v>91.535703124999984</v>
      </c>
      <c r="AX15" s="6">
        <f t="shared" ca="1" si="15"/>
        <v>2.9614492187499994</v>
      </c>
      <c r="AY15" s="1"/>
      <c r="AZ15" s="1"/>
      <c r="BA15" s="1"/>
      <c r="BB15" s="1"/>
      <c r="BC15" s="1"/>
      <c r="BD15" s="1"/>
      <c r="BE15" s="1"/>
      <c r="BF15" s="1"/>
      <c r="BG15" s="1"/>
      <c r="BH15" s="1"/>
      <c r="BI15" s="1"/>
    </row>
    <row r="16" spans="1:61">
      <c r="A16" s="108">
        <f t="shared" si="24"/>
        <v>2024</v>
      </c>
      <c r="B16" s="40">
        <f t="shared" si="16"/>
        <v>68</v>
      </c>
      <c r="C16" s="40">
        <v>85</v>
      </c>
      <c r="D16" s="40">
        <v>3</v>
      </c>
      <c r="E16" s="40">
        <f>E15</f>
        <v>0.73</v>
      </c>
      <c r="F16" s="34">
        <f>F15*0.8</f>
        <v>4.4800000000000006E-2</v>
      </c>
      <c r="G16" s="34">
        <v>3.2000000000000001E-2</v>
      </c>
      <c r="H16" s="126">
        <f t="shared" ca="1" si="0"/>
        <v>1.082245632</v>
      </c>
      <c r="I16" s="126">
        <f t="shared" ca="1" si="1"/>
        <v>91.990878719999998</v>
      </c>
      <c r="J16" s="129">
        <f t="shared" ca="1" si="2"/>
        <v>3.2467368959999998</v>
      </c>
      <c r="K16" s="1"/>
      <c r="L16" s="40">
        <f>$B16</f>
        <v>68</v>
      </c>
      <c r="M16" s="40">
        <f>$C16</f>
        <v>85</v>
      </c>
      <c r="N16" s="40">
        <f>$D16</f>
        <v>3</v>
      </c>
      <c r="O16" s="40">
        <f>E16</f>
        <v>0.73</v>
      </c>
      <c r="P16" s="34">
        <f>P15*0.9</f>
        <v>5.8500000000000003E-2</v>
      </c>
      <c r="Q16" s="34">
        <f t="shared" si="17"/>
        <v>4.9724999999999998E-2</v>
      </c>
      <c r="R16" s="126">
        <f t="shared" ca="1" si="4"/>
        <v>1.1142300250000001</v>
      </c>
      <c r="S16" s="63">
        <f t="shared" ca="1" si="5"/>
        <v>94.709552125000016</v>
      </c>
      <c r="T16" s="6">
        <f t="shared" ca="1" si="6"/>
        <v>3.3426900750000001</v>
      </c>
      <c r="U16" s="1"/>
      <c r="V16" s="40">
        <f>$B16</f>
        <v>68</v>
      </c>
      <c r="W16" s="40">
        <f>$C16</f>
        <v>85</v>
      </c>
      <c r="X16" s="40">
        <f>$D16</f>
        <v>3</v>
      </c>
      <c r="Y16" s="40">
        <f t="shared" si="18"/>
        <v>0.73</v>
      </c>
      <c r="Z16" s="34">
        <v>2.5000000000000001E-2</v>
      </c>
      <c r="AA16" s="34">
        <f t="shared" si="19"/>
        <v>2.5000000000000001E-2</v>
      </c>
      <c r="AB16" s="126">
        <f t="shared" ca="1" si="7"/>
        <v>1.0506249999999999</v>
      </c>
      <c r="AC16" s="63">
        <f t="shared" ca="1" si="8"/>
        <v>89.303124999999994</v>
      </c>
      <c r="AD16" s="6">
        <f t="shared" ca="1" si="9"/>
        <v>3.1518749999999995</v>
      </c>
      <c r="AE16" s="1"/>
      <c r="AF16" s="40">
        <f>$B16</f>
        <v>68</v>
      </c>
      <c r="AG16" s="40">
        <f>$C16</f>
        <v>85</v>
      </c>
      <c r="AH16" s="40">
        <f>$D16</f>
        <v>3</v>
      </c>
      <c r="AI16" s="40">
        <f t="shared" si="20"/>
        <v>0.73</v>
      </c>
      <c r="AJ16" s="34">
        <v>2.5000000000000001E-2</v>
      </c>
      <c r="AK16" s="34">
        <f t="shared" si="21"/>
        <v>2.5000000000000001E-2</v>
      </c>
      <c r="AL16" s="126">
        <f t="shared" ca="1" si="10"/>
        <v>1.0506249999999999</v>
      </c>
      <c r="AM16" s="63">
        <f t="shared" ca="1" si="11"/>
        <v>89.303124999999994</v>
      </c>
      <c r="AN16" s="6">
        <f t="shared" ca="1" si="12"/>
        <v>3.1518749999999995</v>
      </c>
      <c r="AO16" s="1"/>
      <c r="AP16" s="40">
        <f>AP15*(1+$AT16)</f>
        <v>69.699999999999989</v>
      </c>
      <c r="AQ16" s="40">
        <f t="shared" ref="AQ16:AQ79" si="25">AQ15*(1+$AT16)</f>
        <v>87.124999999999986</v>
      </c>
      <c r="AR16" s="40">
        <f t="shared" ref="AR16:AR79" si="26">AR15*(1+$AT16)</f>
        <v>2.8187499999999996</v>
      </c>
      <c r="AS16" s="40">
        <f t="shared" si="22"/>
        <v>0.73</v>
      </c>
      <c r="AT16" s="34">
        <v>2.5000000000000001E-2</v>
      </c>
      <c r="AU16" s="34">
        <f t="shared" si="23"/>
        <v>2.5000000000000001E-2</v>
      </c>
      <c r="AV16" s="126">
        <f t="shared" ca="1" si="13"/>
        <v>1.0506249999999999</v>
      </c>
      <c r="AW16" s="63">
        <f t="shared" ca="1" si="14"/>
        <v>91.535703124999984</v>
      </c>
      <c r="AX16" s="6">
        <f t="shared" ca="1" si="15"/>
        <v>2.9614492187499994</v>
      </c>
      <c r="AY16" s="1"/>
      <c r="AZ16" s="1"/>
      <c r="BA16" s="1"/>
      <c r="BB16" s="1"/>
      <c r="BC16" s="1"/>
      <c r="BD16" s="1"/>
      <c r="BE16" s="1"/>
      <c r="BF16" s="1"/>
      <c r="BG16" s="1"/>
      <c r="BH16" s="1"/>
      <c r="BI16" s="1"/>
    </row>
    <row r="17" spans="1:61">
      <c r="A17" s="108">
        <f t="shared" si="24"/>
        <v>2025</v>
      </c>
      <c r="B17" s="40">
        <f t="shared" si="16"/>
        <v>70.040000000000006</v>
      </c>
      <c r="C17" s="40">
        <f>C16*1.03</f>
        <v>87.55</v>
      </c>
      <c r="D17" s="40">
        <f>D16*1.03</f>
        <v>3.09</v>
      </c>
      <c r="E17" s="40">
        <f t="shared" ref="E17:E80" si="27">E16</f>
        <v>0.73</v>
      </c>
      <c r="F17" s="34">
        <f>F16*0.8</f>
        <v>3.5840000000000004E-2</v>
      </c>
      <c r="G17" s="34">
        <v>2.9000000000000001E-2</v>
      </c>
      <c r="H17" s="126">
        <f t="shared" ca="1" si="0"/>
        <v>1.0358400000000001</v>
      </c>
      <c r="I17" s="126">
        <f t="shared" ca="1" si="1"/>
        <v>90.687792000000002</v>
      </c>
      <c r="J17" s="129">
        <f t="shared" ca="1" si="2"/>
        <v>3.2007456000000003</v>
      </c>
      <c r="K17" s="1"/>
      <c r="L17" s="40">
        <f>($B17-$B16)+($N$4+1)*L16</f>
        <v>70.040000000000006</v>
      </c>
      <c r="M17" s="40">
        <f>($C17-$C16)+($N$4+1)*M16</f>
        <v>87.55</v>
      </c>
      <c r="N17" s="40">
        <f>($D17-$D16)+($N$4+1)*N16</f>
        <v>3.09</v>
      </c>
      <c r="O17" s="40">
        <f>O16</f>
        <v>0.73</v>
      </c>
      <c r="P17" s="34">
        <f>P16*0.9</f>
        <v>5.2650000000000002E-2</v>
      </c>
      <c r="Q17" s="34">
        <f t="shared" si="17"/>
        <v>4.4752500000000001E-2</v>
      </c>
      <c r="R17" s="126">
        <f t="shared" ca="1" si="4"/>
        <v>1.0526500000000001</v>
      </c>
      <c r="S17" s="63">
        <f t="shared" ca="1" si="5"/>
        <v>92.159507500000004</v>
      </c>
      <c r="T17" s="6">
        <f t="shared" ca="1" si="6"/>
        <v>3.2526885000000001</v>
      </c>
      <c r="U17" s="1"/>
      <c r="V17" s="40">
        <f>($B17-$B16)+($X$4+1)*V16</f>
        <v>72.080000000000013</v>
      </c>
      <c r="W17" s="40">
        <f>($C17-$C16)+($X$4+1)*W16</f>
        <v>90.1</v>
      </c>
      <c r="X17" s="40">
        <f>($D17-$D16)+($X$4+1)*X16</f>
        <v>3.1799999999999997</v>
      </c>
      <c r="Y17" s="40">
        <f t="shared" si="18"/>
        <v>0.73</v>
      </c>
      <c r="Z17" s="34">
        <v>2.5000000000000001E-2</v>
      </c>
      <c r="AA17" s="34">
        <f t="shared" si="19"/>
        <v>2.5000000000000001E-2</v>
      </c>
      <c r="AB17" s="126">
        <f t="shared" ca="1" si="7"/>
        <v>1.0249999999999999</v>
      </c>
      <c r="AC17" s="63">
        <f t="shared" ca="1" si="8"/>
        <v>92.352499999999992</v>
      </c>
      <c r="AD17" s="6">
        <f t="shared" ca="1" si="9"/>
        <v>3.2594999999999996</v>
      </c>
      <c r="AE17" s="1"/>
      <c r="AF17" s="40">
        <f>($B17-$B16)+($AH$4+1)*AF16</f>
        <v>69.02000000000001</v>
      </c>
      <c r="AG17" s="40">
        <f>($C17-$C16)+($AH$4+1)*AG16</f>
        <v>86.274999999999991</v>
      </c>
      <c r="AH17" s="40">
        <f>($D17-$D16)+($AH$4+1)*AH16</f>
        <v>3.0449999999999999</v>
      </c>
      <c r="AI17" s="40">
        <f t="shared" si="20"/>
        <v>0.73</v>
      </c>
      <c r="AJ17" s="34">
        <v>2.5000000000000001E-2</v>
      </c>
      <c r="AK17" s="34">
        <f t="shared" si="21"/>
        <v>2.5000000000000001E-2</v>
      </c>
      <c r="AL17" s="126">
        <f t="shared" ca="1" si="10"/>
        <v>1.0249999999999999</v>
      </c>
      <c r="AM17" s="63">
        <f t="shared" ca="1" si="11"/>
        <v>88.431874999999977</v>
      </c>
      <c r="AN17" s="6">
        <f t="shared" ca="1" si="12"/>
        <v>3.1211249999999997</v>
      </c>
      <c r="AO17" s="1"/>
      <c r="AP17" s="40">
        <f t="shared" ref="AP17:AP60" si="28">AP16*(1+$AT17)</f>
        <v>71.442499999999981</v>
      </c>
      <c r="AQ17" s="40">
        <f t="shared" si="25"/>
        <v>89.30312499999998</v>
      </c>
      <c r="AR17" s="40">
        <f t="shared" si="26"/>
        <v>2.8892187499999995</v>
      </c>
      <c r="AS17" s="40">
        <f t="shared" si="22"/>
        <v>0.73</v>
      </c>
      <c r="AT17" s="34">
        <v>2.5000000000000001E-2</v>
      </c>
      <c r="AU17" s="34">
        <f t="shared" si="23"/>
        <v>2.5000000000000001E-2</v>
      </c>
      <c r="AV17" s="126">
        <f t="shared" ca="1" si="13"/>
        <v>1.0249999999999999</v>
      </c>
      <c r="AW17" s="63">
        <f t="shared" ca="1" si="14"/>
        <v>91.535703124999969</v>
      </c>
      <c r="AX17" s="6">
        <f t="shared" ca="1" si="15"/>
        <v>2.9614492187499994</v>
      </c>
      <c r="AY17" s="1"/>
      <c r="AZ17" s="1"/>
      <c r="BA17" s="1"/>
      <c r="BB17" s="1"/>
      <c r="BC17" s="1"/>
      <c r="BD17" s="1"/>
      <c r="BE17" s="1"/>
      <c r="BF17" s="1"/>
      <c r="BG17" s="1"/>
      <c r="BH17" s="1"/>
      <c r="BI17" s="1"/>
    </row>
    <row r="18" spans="1:61">
      <c r="A18" s="108">
        <f t="shared" si="24"/>
        <v>2026</v>
      </c>
      <c r="B18" s="40">
        <f t="shared" si="16"/>
        <v>72.141200000000012</v>
      </c>
      <c r="C18" s="40">
        <f t="shared" ref="C18:C81" si="29">C17*1.03</f>
        <v>90.176500000000004</v>
      </c>
      <c r="D18" s="40">
        <f t="shared" ref="D18:D81" si="30">D17*1.03</f>
        <v>3.1827000000000001</v>
      </c>
      <c r="E18" s="40">
        <f t="shared" si="27"/>
        <v>0.73</v>
      </c>
      <c r="F18" s="34">
        <v>0.03</v>
      </c>
      <c r="G18" s="34">
        <v>2.5000000000000001E-2</v>
      </c>
      <c r="H18" s="126">
        <f t="shared" ca="1" si="0"/>
        <v>1</v>
      </c>
      <c r="I18" s="126">
        <f t="shared" ca="1" si="1"/>
        <v>90.176500000000004</v>
      </c>
      <c r="J18" s="129">
        <f t="shared" ca="1" si="2"/>
        <v>3.1827000000000001</v>
      </c>
      <c r="K18" s="1"/>
      <c r="L18" s="40">
        <f t="shared" ref="L18:L81" si="31">($B18-$B17)+($N$4+1)*L17</f>
        <v>72.141200000000012</v>
      </c>
      <c r="M18" s="40">
        <f t="shared" ref="M18:M81" si="32">($C18-$C17)+($N$4+1)*M17</f>
        <v>90.176500000000004</v>
      </c>
      <c r="N18" s="40">
        <f t="shared" ref="N18:N81" si="33">($D18-$D17)+($N$4+1)*N17</f>
        <v>3.1827000000000001</v>
      </c>
      <c r="O18" s="40">
        <f t="shared" ref="O18:O81" si="34">O17</f>
        <v>0.73</v>
      </c>
      <c r="P18" s="34">
        <f>P17*0.9</f>
        <v>4.7385000000000004E-2</v>
      </c>
      <c r="Q18" s="34">
        <f t="shared" si="17"/>
        <v>4.0277250000000001E-2</v>
      </c>
      <c r="R18" s="126">
        <f t="shared" ca="1" si="4"/>
        <v>1</v>
      </c>
      <c r="S18" s="63">
        <f t="shared" ca="1" si="5"/>
        <v>90.176500000000004</v>
      </c>
      <c r="T18" s="6">
        <f t="shared" ca="1" si="6"/>
        <v>3.1827000000000001</v>
      </c>
      <c r="U18" s="1"/>
      <c r="V18" s="40">
        <f t="shared" ref="V18:V81" si="35">($B18-$B17)+($X$4+1)*V17</f>
        <v>76.343600000000023</v>
      </c>
      <c r="W18" s="40">
        <f t="shared" ref="W18:W81" si="36">($C18-$C17)+($X$4+1)*W17</f>
        <v>95.429500000000004</v>
      </c>
      <c r="X18" s="40">
        <f t="shared" ref="X18:X81" si="37">($D18-$D17)+($X$4+1)*X17</f>
        <v>3.3681000000000001</v>
      </c>
      <c r="Y18" s="40">
        <f t="shared" si="18"/>
        <v>0.73</v>
      </c>
      <c r="Z18" s="34">
        <v>2.5000000000000001E-2</v>
      </c>
      <c r="AA18" s="34">
        <f t="shared" si="19"/>
        <v>2.5000000000000001E-2</v>
      </c>
      <c r="AB18" s="126">
        <f t="shared" ca="1" si="7"/>
        <v>1</v>
      </c>
      <c r="AC18" s="63">
        <f t="shared" ca="1" si="8"/>
        <v>95.429500000000004</v>
      </c>
      <c r="AD18" s="6">
        <f t="shared" ca="1" si="9"/>
        <v>3.3681000000000001</v>
      </c>
      <c r="AE18" s="1"/>
      <c r="AF18" s="40">
        <f t="shared" ref="AF18:AF81" si="38">($B18-$B17)+($AH$4+1)*AF17</f>
        <v>70.085900000000009</v>
      </c>
      <c r="AG18" s="40">
        <f t="shared" ref="AG18:AG81" si="39">($C18-$C17)+($AH$4+1)*AG17</f>
        <v>87.607375000000005</v>
      </c>
      <c r="AH18" s="40">
        <f t="shared" ref="AH18:AH81" si="40">($D18-$D17)+($AH$4+1)*AH17</f>
        <v>3.092025</v>
      </c>
      <c r="AI18" s="40">
        <f t="shared" si="20"/>
        <v>0.73</v>
      </c>
      <c r="AJ18" s="34">
        <v>2.5000000000000001E-2</v>
      </c>
      <c r="AK18" s="34">
        <f t="shared" si="21"/>
        <v>2.5000000000000001E-2</v>
      </c>
      <c r="AL18" s="126">
        <f t="shared" ca="1" si="10"/>
        <v>1</v>
      </c>
      <c r="AM18" s="63">
        <f t="shared" ca="1" si="11"/>
        <v>87.607375000000005</v>
      </c>
      <c r="AN18" s="6">
        <f t="shared" ca="1" si="12"/>
        <v>3.092025</v>
      </c>
      <c r="AO18" s="1"/>
      <c r="AP18" s="40">
        <f t="shared" si="28"/>
        <v>73.228562499999981</v>
      </c>
      <c r="AQ18" s="40">
        <f t="shared" si="25"/>
        <v>91.535703124999969</v>
      </c>
      <c r="AR18" s="40">
        <f t="shared" si="26"/>
        <v>2.9614492187499994</v>
      </c>
      <c r="AS18" s="40">
        <f t="shared" si="22"/>
        <v>0.73</v>
      </c>
      <c r="AT18" s="34">
        <v>2.5000000000000001E-2</v>
      </c>
      <c r="AU18" s="34">
        <f t="shared" si="23"/>
        <v>2.5000000000000001E-2</v>
      </c>
      <c r="AV18" s="126">
        <f t="shared" ca="1" si="13"/>
        <v>1</v>
      </c>
      <c r="AW18" s="63">
        <f t="shared" ca="1" si="14"/>
        <v>91.535703124999969</v>
      </c>
      <c r="AX18" s="6">
        <f t="shared" ca="1" si="15"/>
        <v>2.9614492187499994</v>
      </c>
      <c r="AY18" s="1"/>
      <c r="AZ18" s="1"/>
      <c r="BA18" s="1"/>
      <c r="BB18" s="1"/>
      <c r="BC18" s="1"/>
      <c r="BD18" s="1"/>
      <c r="BE18" s="1"/>
      <c r="BF18" s="1"/>
      <c r="BG18" s="1"/>
      <c r="BH18" s="1"/>
      <c r="BI18" s="1"/>
    </row>
    <row r="19" spans="1:61">
      <c r="A19" s="108">
        <f t="shared" si="24"/>
        <v>2027</v>
      </c>
      <c r="B19" s="40">
        <f t="shared" si="16"/>
        <v>74.305436000000014</v>
      </c>
      <c r="C19" s="40">
        <f t="shared" si="29"/>
        <v>92.881795000000011</v>
      </c>
      <c r="D19" s="40">
        <f t="shared" si="30"/>
        <v>3.278181</v>
      </c>
      <c r="E19" s="40">
        <f t="shared" si="27"/>
        <v>0.73</v>
      </c>
      <c r="F19" s="34">
        <v>0.03</v>
      </c>
      <c r="G19" s="34">
        <f t="shared" ref="G19:G80" si="41">G18</f>
        <v>2.5000000000000001E-2</v>
      </c>
      <c r="H19" s="126">
        <f t="shared" ca="1" si="0"/>
        <v>0.970873786407767</v>
      </c>
      <c r="I19" s="126">
        <f t="shared" ca="1" si="1"/>
        <v>90.176500000000019</v>
      </c>
      <c r="J19" s="129">
        <f t="shared" ca="1" si="2"/>
        <v>3.1827000000000001</v>
      </c>
      <c r="K19" s="1"/>
      <c r="L19" s="40">
        <f t="shared" si="31"/>
        <v>74.305436000000014</v>
      </c>
      <c r="M19" s="40">
        <f t="shared" si="32"/>
        <v>92.881795000000011</v>
      </c>
      <c r="N19" s="40">
        <f t="shared" si="33"/>
        <v>3.278181</v>
      </c>
      <c r="O19" s="40">
        <f t="shared" si="34"/>
        <v>0.73</v>
      </c>
      <c r="P19" s="34">
        <f>P18*0.9</f>
        <v>4.2646500000000004E-2</v>
      </c>
      <c r="Q19" s="34">
        <f t="shared" si="17"/>
        <v>3.6249525000000005E-2</v>
      </c>
      <c r="R19" s="126">
        <f t="shared" ca="1" si="4"/>
        <v>0.9590978342132257</v>
      </c>
      <c r="S19" s="63">
        <f t="shared" ca="1" si="5"/>
        <v>89.082728422336828</v>
      </c>
      <c r="T19" s="6">
        <f t="shared" ca="1" si="6"/>
        <v>3.1440962972589466</v>
      </c>
      <c r="U19" s="1"/>
      <c r="V19" s="40">
        <f t="shared" si="35"/>
        <v>80.798144000000022</v>
      </c>
      <c r="W19" s="40">
        <f t="shared" si="36"/>
        <v>100.99768000000002</v>
      </c>
      <c r="X19" s="40">
        <f t="shared" si="37"/>
        <v>3.5646240000000002</v>
      </c>
      <c r="Y19" s="40">
        <f t="shared" si="18"/>
        <v>0.73</v>
      </c>
      <c r="Z19" s="34">
        <v>2.5000000000000001E-2</v>
      </c>
      <c r="AA19" s="34">
        <f t="shared" si="19"/>
        <v>2.5000000000000001E-2</v>
      </c>
      <c r="AB19" s="126">
        <f t="shared" ca="1" si="7"/>
        <v>0.97560975609756106</v>
      </c>
      <c r="AC19" s="63">
        <f t="shared" ca="1" si="8"/>
        <v>98.534321951219539</v>
      </c>
      <c r="AD19" s="6">
        <f t="shared" ca="1" si="9"/>
        <v>3.477681951219513</v>
      </c>
      <c r="AE19" s="1"/>
      <c r="AF19" s="40">
        <f t="shared" si="38"/>
        <v>71.198847500000014</v>
      </c>
      <c r="AG19" s="40">
        <f t="shared" si="39"/>
        <v>88.998559375000013</v>
      </c>
      <c r="AH19" s="40">
        <f t="shared" si="40"/>
        <v>3.1411256249999999</v>
      </c>
      <c r="AI19" s="40">
        <f t="shared" si="20"/>
        <v>0.73</v>
      </c>
      <c r="AJ19" s="34">
        <v>2.5000000000000001E-2</v>
      </c>
      <c r="AK19" s="34">
        <f t="shared" si="21"/>
        <v>2.5000000000000001E-2</v>
      </c>
      <c r="AL19" s="126">
        <f t="shared" ca="1" si="10"/>
        <v>0.97560975609756106</v>
      </c>
      <c r="AM19" s="63">
        <f t="shared" ca="1" si="11"/>
        <v>86.827862804878066</v>
      </c>
      <c r="AN19" s="6">
        <f t="shared" ca="1" si="12"/>
        <v>3.0645128048780488</v>
      </c>
      <c r="AO19" s="1"/>
      <c r="AP19" s="40">
        <f t="shared" si="28"/>
        <v>75.059276562499974</v>
      </c>
      <c r="AQ19" s="40">
        <f t="shared" si="25"/>
        <v>93.824095703124954</v>
      </c>
      <c r="AR19" s="40">
        <f t="shared" si="26"/>
        <v>3.0354854492187493</v>
      </c>
      <c r="AS19" s="40">
        <f t="shared" si="22"/>
        <v>0.73</v>
      </c>
      <c r="AT19" s="34">
        <v>2.5000000000000001E-2</v>
      </c>
      <c r="AU19" s="34">
        <f t="shared" si="23"/>
        <v>2.5000000000000001E-2</v>
      </c>
      <c r="AV19" s="126">
        <f t="shared" ca="1" si="13"/>
        <v>0.97560975609756106</v>
      </c>
      <c r="AW19" s="63">
        <f t="shared" ca="1" si="14"/>
        <v>91.535703124999969</v>
      </c>
      <c r="AX19" s="6">
        <f t="shared" ca="1" si="15"/>
        <v>2.9614492187499994</v>
      </c>
      <c r="AY19" s="1"/>
      <c r="AZ19" s="1"/>
      <c r="BA19" s="1"/>
      <c r="BB19" s="1"/>
      <c r="BC19" s="1"/>
      <c r="BD19" s="1"/>
      <c r="BE19" s="1"/>
      <c r="BF19" s="1"/>
      <c r="BG19" s="1"/>
      <c r="BH19" s="1"/>
      <c r="BI19" s="1"/>
    </row>
    <row r="20" spans="1:61">
      <c r="A20" s="108">
        <f t="shared" si="24"/>
        <v>2028</v>
      </c>
      <c r="B20" s="40">
        <f t="shared" si="16"/>
        <v>76.534599080000007</v>
      </c>
      <c r="C20" s="40">
        <f t="shared" si="29"/>
        <v>95.668248850000012</v>
      </c>
      <c r="D20" s="40">
        <f t="shared" si="30"/>
        <v>3.3765264300000002</v>
      </c>
      <c r="E20" s="40">
        <f t="shared" si="27"/>
        <v>0.73</v>
      </c>
      <c r="F20" s="34">
        <v>0.03</v>
      </c>
      <c r="G20" s="34">
        <f t="shared" si="41"/>
        <v>2.5000000000000001E-2</v>
      </c>
      <c r="H20" s="126">
        <f t="shared" ca="1" si="0"/>
        <v>0.94259590913375435</v>
      </c>
      <c r="I20" s="126">
        <f t="shared" ca="1" si="1"/>
        <v>90.176500000000004</v>
      </c>
      <c r="J20" s="129">
        <f t="shared" ca="1" si="2"/>
        <v>3.1827000000000001</v>
      </c>
      <c r="K20" s="1"/>
      <c r="L20" s="40">
        <f t="shared" si="31"/>
        <v>76.534599080000007</v>
      </c>
      <c r="M20" s="40">
        <f t="shared" si="32"/>
        <v>95.668248850000012</v>
      </c>
      <c r="N20" s="40">
        <f t="shared" si="33"/>
        <v>3.3765264300000002</v>
      </c>
      <c r="O20" s="40">
        <f t="shared" si="34"/>
        <v>0.73</v>
      </c>
      <c r="P20" s="34">
        <f>P19*0.9</f>
        <v>3.8381850000000002E-2</v>
      </c>
      <c r="Q20" s="34">
        <f t="shared" si="17"/>
        <v>3.2624572500000004E-2</v>
      </c>
      <c r="R20" s="126">
        <f t="shared" ca="1" si="4"/>
        <v>0.92364657010638784</v>
      </c>
      <c r="S20" s="63">
        <f t="shared" ca="1" si="5"/>
        <v>88.363649918386898</v>
      </c>
      <c r="T20" s="6">
        <f t="shared" ca="1" si="6"/>
        <v>3.1187170559430668</v>
      </c>
      <c r="U20" s="1"/>
      <c r="V20" s="40">
        <f t="shared" si="35"/>
        <v>85.451251400000018</v>
      </c>
      <c r="W20" s="40">
        <f t="shared" si="36"/>
        <v>106.81406425000002</v>
      </c>
      <c r="X20" s="40">
        <f t="shared" si="37"/>
        <v>3.7699081500000005</v>
      </c>
      <c r="Y20" s="40">
        <f t="shared" si="18"/>
        <v>0.73</v>
      </c>
      <c r="Z20" s="34">
        <v>2.5000000000000001E-2</v>
      </c>
      <c r="AA20" s="34">
        <f t="shared" si="19"/>
        <v>2.5000000000000001E-2</v>
      </c>
      <c r="AB20" s="126">
        <f t="shared" ca="1" si="7"/>
        <v>0.95181439619274255</v>
      </c>
      <c r="AC20" s="63">
        <f t="shared" ca="1" si="8"/>
        <v>101.66716406900657</v>
      </c>
      <c r="AD20" s="6">
        <f t="shared" ca="1" si="9"/>
        <v>3.5882528494943497</v>
      </c>
      <c r="AE20" s="1"/>
      <c r="AF20" s="40">
        <f t="shared" si="38"/>
        <v>72.360027867500008</v>
      </c>
      <c r="AG20" s="40">
        <f t="shared" si="39"/>
        <v>90.450034834375018</v>
      </c>
      <c r="AH20" s="40">
        <f t="shared" si="40"/>
        <v>3.1923541706250003</v>
      </c>
      <c r="AI20" s="40">
        <f t="shared" si="20"/>
        <v>0.73</v>
      </c>
      <c r="AJ20" s="34">
        <v>2.5000000000000001E-2</v>
      </c>
      <c r="AK20" s="34">
        <f t="shared" si="21"/>
        <v>2.5000000000000001E-2</v>
      </c>
      <c r="AL20" s="126">
        <f t="shared" ca="1" si="10"/>
        <v>0.95181439619274255</v>
      </c>
      <c r="AM20" s="63">
        <f t="shared" ca="1" si="11"/>
        <v>86.091645291493194</v>
      </c>
      <c r="AN20" s="6">
        <f t="shared" ca="1" si="12"/>
        <v>3.0385286573468182</v>
      </c>
      <c r="AO20" s="1"/>
      <c r="AP20" s="40">
        <f t="shared" si="28"/>
        <v>76.935758476562469</v>
      </c>
      <c r="AQ20" s="40">
        <f t="shared" si="25"/>
        <v>96.169698095703069</v>
      </c>
      <c r="AR20" s="40">
        <f t="shared" si="26"/>
        <v>3.1113725854492178</v>
      </c>
      <c r="AS20" s="40">
        <f t="shared" si="22"/>
        <v>0.73</v>
      </c>
      <c r="AT20" s="34">
        <v>2.5000000000000001E-2</v>
      </c>
      <c r="AU20" s="34">
        <f t="shared" si="23"/>
        <v>2.5000000000000001E-2</v>
      </c>
      <c r="AV20" s="126">
        <f t="shared" ca="1" si="13"/>
        <v>0.95181439619274255</v>
      </c>
      <c r="AW20" s="63">
        <f t="shared" ca="1" si="14"/>
        <v>91.535703124999955</v>
      </c>
      <c r="AX20" s="6">
        <f t="shared" ca="1" si="15"/>
        <v>2.9614492187499994</v>
      </c>
      <c r="AY20" s="1"/>
      <c r="AZ20" s="1"/>
      <c r="BA20" s="1"/>
      <c r="BB20" s="1"/>
      <c r="BC20" s="1"/>
      <c r="BD20" s="1"/>
      <c r="BE20" s="1"/>
      <c r="BF20" s="1"/>
      <c r="BG20" s="1"/>
      <c r="BH20" s="1"/>
      <c r="BI20" s="1"/>
    </row>
    <row r="21" spans="1:61">
      <c r="A21" s="108">
        <f t="shared" si="24"/>
        <v>2029</v>
      </c>
      <c r="B21" s="40">
        <f t="shared" si="16"/>
        <v>78.830637052400022</v>
      </c>
      <c r="C21" s="40">
        <f t="shared" si="29"/>
        <v>98.53829631550002</v>
      </c>
      <c r="D21" s="40">
        <f t="shared" si="30"/>
        <v>3.4778222229000004</v>
      </c>
      <c r="E21" s="40">
        <f t="shared" si="27"/>
        <v>0.73</v>
      </c>
      <c r="F21" s="34">
        <v>0.03</v>
      </c>
      <c r="G21" s="34">
        <f t="shared" si="41"/>
        <v>2.5000000000000001E-2</v>
      </c>
      <c r="H21" s="126">
        <f t="shared" ca="1" si="0"/>
        <v>0.9151416593531595</v>
      </c>
      <c r="I21" s="126">
        <f t="shared" ca="1" si="1"/>
        <v>90.176500000000004</v>
      </c>
      <c r="J21" s="129">
        <f t="shared" ca="1" si="2"/>
        <v>3.1827000000000001</v>
      </c>
      <c r="K21" s="1"/>
      <c r="L21" s="40">
        <f t="shared" si="31"/>
        <v>78.830637052400022</v>
      </c>
      <c r="M21" s="40">
        <f t="shared" si="32"/>
        <v>98.53829631550002</v>
      </c>
      <c r="N21" s="40">
        <f t="shared" si="33"/>
        <v>3.4778222229000004</v>
      </c>
      <c r="O21" s="40">
        <f t="shared" si="34"/>
        <v>0.73</v>
      </c>
      <c r="P21" s="34">
        <v>3.5000000000000003E-2</v>
      </c>
      <c r="Q21" s="34">
        <f t="shared" si="17"/>
        <v>2.9750000000000002E-2</v>
      </c>
      <c r="R21" s="126">
        <f t="shared" ca="1" si="4"/>
        <v>0.89241214503032651</v>
      </c>
      <c r="S21" s="63">
        <f t="shared" ca="1" si="5"/>
        <v>87.936772382549293</v>
      </c>
      <c r="T21" s="6">
        <f t="shared" ca="1" si="6"/>
        <v>3.1036507899723276</v>
      </c>
      <c r="U21" s="1"/>
      <c r="V21" s="40">
        <f t="shared" si="35"/>
        <v>90.310826914400039</v>
      </c>
      <c r="W21" s="40">
        <f t="shared" si="36"/>
        <v>112.88853364300003</v>
      </c>
      <c r="X21" s="40">
        <f t="shared" si="37"/>
        <v>3.9843011874000007</v>
      </c>
      <c r="Y21" s="40">
        <f t="shared" si="18"/>
        <v>0.73</v>
      </c>
      <c r="Z21" s="34">
        <v>2.5000000000000001E-2</v>
      </c>
      <c r="AA21" s="34">
        <f t="shared" si="19"/>
        <v>2.5000000000000001E-2</v>
      </c>
      <c r="AB21" s="126">
        <f t="shared" ca="1" si="7"/>
        <v>0.92859941091974896</v>
      </c>
      <c r="AC21" s="63">
        <f t="shared" ca="1" si="8"/>
        <v>104.82822584048409</v>
      </c>
      <c r="AD21" s="6">
        <f t="shared" ca="1" si="9"/>
        <v>3.6998197355464968</v>
      </c>
      <c r="AE21" s="1"/>
      <c r="AF21" s="40">
        <f t="shared" si="38"/>
        <v>73.570665421887526</v>
      </c>
      <c r="AG21" s="40">
        <f t="shared" si="39"/>
        <v>91.9633317773594</v>
      </c>
      <c r="AH21" s="40">
        <f t="shared" si="40"/>
        <v>3.2457646509656253</v>
      </c>
      <c r="AI21" s="40">
        <f t="shared" si="20"/>
        <v>0.73</v>
      </c>
      <c r="AJ21" s="34">
        <v>2.5000000000000001E-2</v>
      </c>
      <c r="AK21" s="34">
        <f t="shared" si="21"/>
        <v>2.5000000000000001E-2</v>
      </c>
      <c r="AL21" s="126">
        <f t="shared" ca="1" si="10"/>
        <v>0.92859941091974896</v>
      </c>
      <c r="AM21" s="63">
        <f t="shared" ca="1" si="11"/>
        <v>85.39709571467337</v>
      </c>
      <c r="AN21" s="6">
        <f t="shared" ca="1" si="12"/>
        <v>3.0140151428708242</v>
      </c>
      <c r="AO21" s="1"/>
      <c r="AP21" s="40">
        <f t="shared" si="28"/>
        <v>78.859152438476528</v>
      </c>
      <c r="AQ21" s="40">
        <f t="shared" si="25"/>
        <v>98.573940548095635</v>
      </c>
      <c r="AR21" s="40">
        <f t="shared" si="26"/>
        <v>3.1891569000854481</v>
      </c>
      <c r="AS21" s="40">
        <f t="shared" si="22"/>
        <v>0.73</v>
      </c>
      <c r="AT21" s="34">
        <v>2.5000000000000001E-2</v>
      </c>
      <c r="AU21" s="34">
        <f t="shared" si="23"/>
        <v>2.5000000000000001E-2</v>
      </c>
      <c r="AV21" s="126">
        <f t="shared" ca="1" si="13"/>
        <v>0.92859941091974896</v>
      </c>
      <c r="AW21" s="63">
        <f t="shared" ca="1" si="14"/>
        <v>91.535703124999969</v>
      </c>
      <c r="AX21" s="6">
        <f t="shared" ca="1" si="15"/>
        <v>2.9614492187499999</v>
      </c>
      <c r="AY21" s="1"/>
      <c r="AZ21" s="1"/>
      <c r="BA21" s="1"/>
      <c r="BB21" s="1"/>
      <c r="BC21" s="1"/>
      <c r="BD21" s="1"/>
      <c r="BE21" s="1"/>
      <c r="BF21" s="1"/>
      <c r="BG21" s="1"/>
      <c r="BH21" s="1"/>
      <c r="BI21" s="1"/>
    </row>
    <row r="22" spans="1:61">
      <c r="A22" s="108">
        <f t="shared" si="24"/>
        <v>2030</v>
      </c>
      <c r="B22" s="40">
        <f t="shared" si="16"/>
        <v>81.195556163972014</v>
      </c>
      <c r="C22" s="40">
        <f t="shared" si="29"/>
        <v>101.49444520496502</v>
      </c>
      <c r="D22" s="40">
        <f t="shared" si="30"/>
        <v>3.5821568895870004</v>
      </c>
      <c r="E22" s="40">
        <f t="shared" si="27"/>
        <v>0.73</v>
      </c>
      <c r="F22" s="34">
        <v>0.03</v>
      </c>
      <c r="G22" s="34">
        <f t="shared" si="41"/>
        <v>2.5000000000000001E-2</v>
      </c>
      <c r="H22" s="126">
        <f t="shared" ca="1" si="0"/>
        <v>0.88848704791568878</v>
      </c>
      <c r="I22" s="126">
        <f t="shared" ca="1" si="1"/>
        <v>90.176500000000004</v>
      </c>
      <c r="J22" s="129">
        <f t="shared" ca="1" si="2"/>
        <v>3.1827000000000001</v>
      </c>
      <c r="K22" s="1"/>
      <c r="L22" s="40">
        <f t="shared" si="31"/>
        <v>81.195556163972014</v>
      </c>
      <c r="M22" s="40">
        <f t="shared" si="32"/>
        <v>101.49444520496502</v>
      </c>
      <c r="N22" s="40">
        <f t="shared" si="33"/>
        <v>3.5821568895870004</v>
      </c>
      <c r="O22" s="40">
        <f t="shared" si="34"/>
        <v>0.73</v>
      </c>
      <c r="P22" s="34">
        <f>P21</f>
        <v>3.5000000000000003E-2</v>
      </c>
      <c r="Q22" s="34">
        <f t="shared" si="17"/>
        <v>2.9750000000000002E-2</v>
      </c>
      <c r="R22" s="126">
        <f t="shared" ca="1" si="4"/>
        <v>0.86223395655104018</v>
      </c>
      <c r="S22" s="63">
        <f t="shared" ca="1" si="5"/>
        <v>87.511957057029733</v>
      </c>
      <c r="T22" s="6">
        <f t="shared" ca="1" si="6"/>
        <v>3.0886573078951671</v>
      </c>
      <c r="U22" s="1"/>
      <c r="V22" s="40">
        <f t="shared" si="35"/>
        <v>95.385070833404029</v>
      </c>
      <c r="W22" s="40">
        <f t="shared" si="36"/>
        <v>119.23133854175504</v>
      </c>
      <c r="X22" s="40">
        <f t="shared" si="37"/>
        <v>4.2081648897090016</v>
      </c>
      <c r="Y22" s="40">
        <f t="shared" si="18"/>
        <v>0.73</v>
      </c>
      <c r="Z22" s="34">
        <v>2.5000000000000001E-2</v>
      </c>
      <c r="AA22" s="34">
        <f t="shared" si="19"/>
        <v>2.5000000000000001E-2</v>
      </c>
      <c r="AB22" s="126">
        <f t="shared" ca="1" si="7"/>
        <v>0.90595064479975518</v>
      </c>
      <c r="AC22" s="63">
        <f t="shared" ca="1" si="8"/>
        <v>108.01770803224088</v>
      </c>
      <c r="AD22" s="6">
        <f t="shared" ca="1" si="9"/>
        <v>3.8123896952555607</v>
      </c>
      <c r="AE22" s="1"/>
      <c r="AF22" s="40">
        <f t="shared" si="38"/>
        <v>74.832024552131202</v>
      </c>
      <c r="AG22" s="40">
        <f t="shared" si="39"/>
        <v>93.540030690164002</v>
      </c>
      <c r="AH22" s="40">
        <f t="shared" si="40"/>
        <v>3.301412847888141</v>
      </c>
      <c r="AI22" s="40">
        <f t="shared" si="20"/>
        <v>0.73</v>
      </c>
      <c r="AJ22" s="34">
        <v>2.5000000000000001E-2</v>
      </c>
      <c r="AK22" s="34">
        <f t="shared" si="21"/>
        <v>2.5000000000000001E-2</v>
      </c>
      <c r="AL22" s="126">
        <f t="shared" ca="1" si="10"/>
        <v>0.90595064479975518</v>
      </c>
      <c r="AM22" s="63">
        <f t="shared" ca="1" si="11"/>
        <v>84.742651118342962</v>
      </c>
      <c r="AN22" s="6">
        <f t="shared" ca="1" si="12"/>
        <v>2.9909170982944575</v>
      </c>
      <c r="AO22" s="1"/>
      <c r="AP22" s="40">
        <f t="shared" si="28"/>
        <v>80.83063124943844</v>
      </c>
      <c r="AQ22" s="40">
        <f t="shared" si="25"/>
        <v>101.03828906179801</v>
      </c>
      <c r="AR22" s="40">
        <f t="shared" si="26"/>
        <v>3.2688858225875839</v>
      </c>
      <c r="AS22" s="40">
        <f t="shared" si="22"/>
        <v>0.73</v>
      </c>
      <c r="AT22" s="34">
        <v>2.5000000000000001E-2</v>
      </c>
      <c r="AU22" s="34">
        <f t="shared" si="23"/>
        <v>2.5000000000000001E-2</v>
      </c>
      <c r="AV22" s="126">
        <f t="shared" ca="1" si="13"/>
        <v>0.90595064479975518</v>
      </c>
      <c r="AW22" s="63">
        <f t="shared" ca="1" si="14"/>
        <v>91.535703124999955</v>
      </c>
      <c r="AX22" s="6">
        <f t="shared" ca="1" si="15"/>
        <v>2.9614492187499999</v>
      </c>
      <c r="AY22" s="1"/>
      <c r="AZ22" s="1"/>
      <c r="BA22" s="1"/>
      <c r="BB22" s="1"/>
      <c r="BC22" s="1"/>
      <c r="BD22" s="1"/>
      <c r="BE22" s="1"/>
      <c r="BF22" s="1"/>
      <c r="BG22" s="1"/>
      <c r="BH22" s="1"/>
      <c r="BI22" s="1"/>
    </row>
    <row r="23" spans="1:61">
      <c r="A23" s="108">
        <f t="shared" si="24"/>
        <v>2031</v>
      </c>
      <c r="B23" s="40">
        <f t="shared" si="16"/>
        <v>83.631422848891191</v>
      </c>
      <c r="C23" s="40">
        <f t="shared" si="29"/>
        <v>104.53927856111397</v>
      </c>
      <c r="D23" s="40">
        <f t="shared" si="30"/>
        <v>3.6896215962746104</v>
      </c>
      <c r="E23" s="40">
        <f t="shared" si="27"/>
        <v>0.73</v>
      </c>
      <c r="F23" s="34">
        <v>0.03</v>
      </c>
      <c r="G23" s="34">
        <f t="shared" si="41"/>
        <v>2.5000000000000001E-2</v>
      </c>
      <c r="H23" s="126">
        <f t="shared" ca="1" si="0"/>
        <v>0.86260878438416388</v>
      </c>
      <c r="I23" s="126">
        <f t="shared" ca="1" si="1"/>
        <v>90.176500000000004</v>
      </c>
      <c r="J23" s="129">
        <f t="shared" ca="1" si="2"/>
        <v>3.1827000000000001</v>
      </c>
      <c r="K23" s="1"/>
      <c r="L23" s="40">
        <f t="shared" si="31"/>
        <v>83.631422848891191</v>
      </c>
      <c r="M23" s="40">
        <f t="shared" si="32"/>
        <v>104.53927856111397</v>
      </c>
      <c r="N23" s="40">
        <f t="shared" si="33"/>
        <v>3.6896215962746104</v>
      </c>
      <c r="O23" s="40">
        <f t="shared" si="34"/>
        <v>0.73</v>
      </c>
      <c r="P23" s="34">
        <f t="shared" ref="P23:P85" si="42">P22</f>
        <v>3.5000000000000003E-2</v>
      </c>
      <c r="Q23" s="34">
        <f t="shared" si="17"/>
        <v>2.9750000000000002E-2</v>
      </c>
      <c r="R23" s="126">
        <f t="shared" ca="1" si="4"/>
        <v>0.83307628652274424</v>
      </c>
      <c r="S23" s="63">
        <f t="shared" ca="1" si="5"/>
        <v>87.089193979459566</v>
      </c>
      <c r="T23" s="6">
        <f t="shared" ca="1" si="6"/>
        <v>3.0737362580985721</v>
      </c>
      <c r="U23" s="1"/>
      <c r="V23" s="40">
        <f t="shared" si="35"/>
        <v>100.68248964332533</v>
      </c>
      <c r="W23" s="40">
        <f t="shared" si="36"/>
        <v>125.85311205415665</v>
      </c>
      <c r="X23" s="40">
        <f t="shared" si="37"/>
        <v>4.4418745430878817</v>
      </c>
      <c r="Y23" s="40">
        <f t="shared" si="18"/>
        <v>0.73</v>
      </c>
      <c r="Z23" s="34">
        <v>2.5000000000000001E-2</v>
      </c>
      <c r="AA23" s="34">
        <f t="shared" si="19"/>
        <v>2.5000000000000001E-2</v>
      </c>
      <c r="AB23" s="126">
        <f t="shared" ca="1" si="7"/>
        <v>0.88385428760951734</v>
      </c>
      <c r="AC23" s="63">
        <f t="shared" ca="1" si="8"/>
        <v>111.23581269806739</v>
      </c>
      <c r="AD23" s="6">
        <f t="shared" ca="1" si="9"/>
        <v>3.92596985993179</v>
      </c>
      <c r="AE23" s="1"/>
      <c r="AF23" s="40">
        <f t="shared" si="38"/>
        <v>76.145410868768408</v>
      </c>
      <c r="AG23" s="40">
        <f t="shared" si="39"/>
        <v>95.181763585960496</v>
      </c>
      <c r="AH23" s="40">
        <f t="shared" si="40"/>
        <v>3.3593563618574289</v>
      </c>
      <c r="AI23" s="40">
        <f t="shared" si="20"/>
        <v>0.73</v>
      </c>
      <c r="AJ23" s="34">
        <v>2.5000000000000001E-2</v>
      </c>
      <c r="AK23" s="34">
        <f t="shared" si="21"/>
        <v>2.5000000000000001E-2</v>
      </c>
      <c r="AL23" s="126">
        <f t="shared" ca="1" si="10"/>
        <v>0.88385428760951734</v>
      </c>
      <c r="AM23" s="63">
        <f t="shared" ca="1" si="11"/>
        <v>84.126809847686616</v>
      </c>
      <c r="AN23" s="6">
        <f t="shared" ca="1" si="12"/>
        <v>2.969181524035998</v>
      </c>
      <c r="AO23" s="1"/>
      <c r="AP23" s="40">
        <f t="shared" si="28"/>
        <v>82.851397030674391</v>
      </c>
      <c r="AQ23" s="40">
        <f t="shared" si="25"/>
        <v>103.56424628834296</v>
      </c>
      <c r="AR23" s="40">
        <f t="shared" si="26"/>
        <v>3.3506079681522731</v>
      </c>
      <c r="AS23" s="40">
        <f t="shared" si="22"/>
        <v>0.73</v>
      </c>
      <c r="AT23" s="34">
        <v>2.5000000000000001E-2</v>
      </c>
      <c r="AU23" s="34">
        <f t="shared" si="23"/>
        <v>2.5000000000000001E-2</v>
      </c>
      <c r="AV23" s="126">
        <f t="shared" ca="1" si="13"/>
        <v>0.88385428760951734</v>
      </c>
      <c r="AW23" s="63">
        <f t="shared" ca="1" si="14"/>
        <v>91.535703124999969</v>
      </c>
      <c r="AX23" s="6">
        <f t="shared" ca="1" si="15"/>
        <v>2.9614492187499999</v>
      </c>
      <c r="AY23" s="1"/>
      <c r="AZ23" s="1"/>
      <c r="BA23" s="1"/>
      <c r="BB23" s="1"/>
      <c r="BC23" s="1"/>
      <c r="BD23" s="1"/>
      <c r="BE23" s="1"/>
      <c r="BF23" s="1"/>
      <c r="BG23" s="1"/>
      <c r="BH23" s="1"/>
      <c r="BI23" s="1"/>
    </row>
    <row r="24" spans="1:61">
      <c r="A24" s="108">
        <f t="shared" si="24"/>
        <v>2032</v>
      </c>
      <c r="B24" s="40">
        <f t="shared" si="16"/>
        <v>86.140365534357926</v>
      </c>
      <c r="C24" s="40">
        <f t="shared" si="29"/>
        <v>107.6754569179474</v>
      </c>
      <c r="D24" s="40">
        <f t="shared" si="30"/>
        <v>3.8003102441628487</v>
      </c>
      <c r="E24" s="40">
        <f t="shared" si="27"/>
        <v>0.73</v>
      </c>
      <c r="F24" s="34">
        <v>0.03</v>
      </c>
      <c r="G24" s="34">
        <f t="shared" si="41"/>
        <v>2.5000000000000001E-2</v>
      </c>
      <c r="H24" s="126">
        <f t="shared" ca="1" si="0"/>
        <v>0.83748425668365423</v>
      </c>
      <c r="I24" s="126">
        <f t="shared" ca="1" si="1"/>
        <v>90.176500000000019</v>
      </c>
      <c r="J24" s="129">
        <f t="shared" ca="1" si="2"/>
        <v>3.1826999999999996</v>
      </c>
      <c r="K24" s="1"/>
      <c r="L24" s="40">
        <f t="shared" si="31"/>
        <v>86.140365534357926</v>
      </c>
      <c r="M24" s="40">
        <f t="shared" si="32"/>
        <v>107.6754569179474</v>
      </c>
      <c r="N24" s="40">
        <f t="shared" si="33"/>
        <v>3.8003102441628487</v>
      </c>
      <c r="O24" s="40">
        <f t="shared" si="34"/>
        <v>0.73</v>
      </c>
      <c r="P24" s="34">
        <f t="shared" si="42"/>
        <v>3.5000000000000003E-2</v>
      </c>
      <c r="Q24" s="34">
        <f t="shared" si="17"/>
        <v>2.9750000000000002E-2</v>
      </c>
      <c r="R24" s="126">
        <f t="shared" ca="1" si="4"/>
        <v>0.80490462465965629</v>
      </c>
      <c r="S24" s="126">
        <f t="shared" ca="1" si="5"/>
        <v>86.668473235597446</v>
      </c>
      <c r="T24" s="129">
        <f t="shared" ca="1" si="6"/>
        <v>3.0588872906681446</v>
      </c>
      <c r="U24" s="1"/>
      <c r="V24" s="40">
        <f t="shared" si="35"/>
        <v>106.21190701809182</v>
      </c>
      <c r="W24" s="40">
        <f t="shared" si="36"/>
        <v>132.76488377261478</v>
      </c>
      <c r="X24" s="40">
        <f t="shared" si="37"/>
        <v>4.6858194272687559</v>
      </c>
      <c r="Y24" s="40">
        <f t="shared" si="18"/>
        <v>0.73</v>
      </c>
      <c r="Z24" s="34">
        <v>2.5000000000000001E-2</v>
      </c>
      <c r="AA24" s="34">
        <f t="shared" si="19"/>
        <v>2.5000000000000001E-2</v>
      </c>
      <c r="AB24" s="126">
        <f t="shared" ca="1" si="7"/>
        <v>0.86229686596050481</v>
      </c>
      <c r="AC24" s="126">
        <f t="shared" ca="1" si="8"/>
        <v>114.48274318673641</v>
      </c>
      <c r="AD24" s="129">
        <f t="shared" ca="1" si="9"/>
        <v>4.0405674065906956</v>
      </c>
      <c r="AE24" s="1"/>
      <c r="AF24" s="40">
        <f t="shared" si="38"/>
        <v>77.51217239120362</v>
      </c>
      <c r="AG24" s="40">
        <f t="shared" si="39"/>
        <v>96.890215489004518</v>
      </c>
      <c r="AH24" s="40">
        <f t="shared" si="40"/>
        <v>3.4196546643178056</v>
      </c>
      <c r="AI24" s="40">
        <f t="shared" si="20"/>
        <v>0.73</v>
      </c>
      <c r="AJ24" s="34">
        <v>2.5000000000000001E-2</v>
      </c>
      <c r="AK24" s="34">
        <f t="shared" si="21"/>
        <v>2.5000000000000001E-2</v>
      </c>
      <c r="AL24" s="126">
        <f t="shared" ca="1" si="10"/>
        <v>0.86229686596050481</v>
      </c>
      <c r="AM24" s="126">
        <f t="shared" ca="1" si="11"/>
        <v>83.548129158406553</v>
      </c>
      <c r="AN24" s="129">
        <f t="shared" ca="1" si="12"/>
        <v>2.9487574997084658</v>
      </c>
      <c r="AO24" s="1"/>
      <c r="AP24" s="40">
        <f t="shared" si="28"/>
        <v>84.922681956441238</v>
      </c>
      <c r="AQ24" s="40">
        <f t="shared" si="25"/>
        <v>106.15335244555152</v>
      </c>
      <c r="AR24" s="40">
        <f t="shared" si="26"/>
        <v>3.4343731673560796</v>
      </c>
      <c r="AS24" s="40">
        <f t="shared" si="22"/>
        <v>0.73</v>
      </c>
      <c r="AT24" s="34">
        <v>2.5000000000000001E-2</v>
      </c>
      <c r="AU24" s="34">
        <f t="shared" si="23"/>
        <v>2.5000000000000001E-2</v>
      </c>
      <c r="AV24" s="126">
        <f t="shared" ca="1" si="13"/>
        <v>0.86229686596050481</v>
      </c>
      <c r="AW24" s="126">
        <f t="shared" ca="1" si="14"/>
        <v>91.535703124999969</v>
      </c>
      <c r="AX24" s="129">
        <f t="shared" ca="1" si="15"/>
        <v>2.9614492187499999</v>
      </c>
      <c r="AY24" s="1"/>
      <c r="AZ24" s="1"/>
      <c r="BA24" s="1"/>
      <c r="BB24" s="1"/>
      <c r="BC24" s="1"/>
      <c r="BD24" s="1"/>
      <c r="BE24" s="1"/>
      <c r="BF24" s="1"/>
      <c r="BG24" s="1"/>
      <c r="BH24" s="1"/>
      <c r="BI24" s="1"/>
    </row>
    <row r="25" spans="1:61">
      <c r="A25" s="108">
        <f t="shared" si="24"/>
        <v>2033</v>
      </c>
      <c r="B25" s="40">
        <f t="shared" si="16"/>
        <v>88.724576500388665</v>
      </c>
      <c r="C25" s="40">
        <f t="shared" si="29"/>
        <v>110.90572062548583</v>
      </c>
      <c r="D25" s="40">
        <f t="shared" si="30"/>
        <v>3.914319551487734</v>
      </c>
      <c r="E25" s="40">
        <f t="shared" si="27"/>
        <v>0.73</v>
      </c>
      <c r="F25" s="34">
        <v>0.03</v>
      </c>
      <c r="G25" s="34">
        <f t="shared" si="41"/>
        <v>2.5000000000000001E-2</v>
      </c>
      <c r="H25" s="126">
        <f t="shared" ca="1" si="0"/>
        <v>0.81309151134335356</v>
      </c>
      <c r="I25" s="126">
        <f t="shared" ca="1" si="1"/>
        <v>90.176500000000004</v>
      </c>
      <c r="J25" s="129">
        <f t="shared" ca="1" si="2"/>
        <v>3.1826999999999996</v>
      </c>
      <c r="K25" s="1"/>
      <c r="L25" s="40">
        <f t="shared" si="31"/>
        <v>88.724576500388665</v>
      </c>
      <c r="M25" s="40">
        <f t="shared" si="32"/>
        <v>110.90572062548583</v>
      </c>
      <c r="N25" s="40">
        <f t="shared" si="33"/>
        <v>3.914319551487734</v>
      </c>
      <c r="O25" s="40">
        <f t="shared" si="34"/>
        <v>0.73</v>
      </c>
      <c r="P25" s="34">
        <f t="shared" si="42"/>
        <v>3.5000000000000003E-2</v>
      </c>
      <c r="Q25" s="34">
        <f t="shared" si="17"/>
        <v>2.9750000000000002E-2</v>
      </c>
      <c r="R25" s="126">
        <f t="shared" ca="1" si="4"/>
        <v>0.77768562769048921</v>
      </c>
      <c r="S25" s="126">
        <f t="shared" ca="1" si="5"/>
        <v>86.249784959096985</v>
      </c>
      <c r="T25" s="129">
        <f t="shared" ca="1" si="6"/>
        <v>3.0441100573798927</v>
      </c>
      <c r="U25" s="1"/>
      <c r="V25" s="40">
        <f t="shared" si="35"/>
        <v>111.98247519466531</v>
      </c>
      <c r="W25" s="40">
        <f t="shared" si="36"/>
        <v>139.97809399333164</v>
      </c>
      <c r="X25" s="40">
        <f t="shared" si="37"/>
        <v>4.9404033174117039</v>
      </c>
      <c r="Y25" s="40">
        <f t="shared" si="18"/>
        <v>0.73</v>
      </c>
      <c r="Z25" s="34">
        <v>2.5000000000000001E-2</v>
      </c>
      <c r="AA25" s="34">
        <f t="shared" si="19"/>
        <v>2.5000000000000001E-2</v>
      </c>
      <c r="AB25" s="126">
        <f t="shared" ca="1" si="7"/>
        <v>0.84126523508341944</v>
      </c>
      <c r="AC25" s="126">
        <f t="shared" ca="1" si="8"/>
        <v>117.75870414982913</v>
      </c>
      <c r="AD25" s="129">
        <f t="shared" ca="1" si="9"/>
        <v>4.1561895582292623</v>
      </c>
      <c r="AE25" s="1"/>
      <c r="AF25" s="40">
        <f t="shared" si="38"/>
        <v>78.933700771366304</v>
      </c>
      <c r="AG25" s="40">
        <f t="shared" si="39"/>
        <v>98.66712596420787</v>
      </c>
      <c r="AH25" s="40">
        <f t="shared" si="40"/>
        <v>3.4823691516779238</v>
      </c>
      <c r="AI25" s="40">
        <f t="shared" si="20"/>
        <v>0.73</v>
      </c>
      <c r="AJ25" s="34">
        <v>2.5000000000000001E-2</v>
      </c>
      <c r="AK25" s="34">
        <f t="shared" si="21"/>
        <v>2.5000000000000001E-2</v>
      </c>
      <c r="AL25" s="126">
        <f t="shared" ca="1" si="10"/>
        <v>0.84126523508341944</v>
      </c>
      <c r="AM25" s="126">
        <f t="shared" ca="1" si="11"/>
        <v>83.005222919284691</v>
      </c>
      <c r="AN25" s="129">
        <f t="shared" ca="1" si="12"/>
        <v>2.9295961030335764</v>
      </c>
      <c r="AO25" s="1"/>
      <c r="AP25" s="40">
        <f t="shared" si="28"/>
        <v>87.045749005352263</v>
      </c>
      <c r="AQ25" s="40">
        <f t="shared" si="25"/>
        <v>108.8071862566903</v>
      </c>
      <c r="AR25" s="40">
        <f t="shared" si="26"/>
        <v>3.5202324965399812</v>
      </c>
      <c r="AS25" s="40">
        <f t="shared" si="22"/>
        <v>0.73</v>
      </c>
      <c r="AT25" s="34">
        <v>2.5000000000000001E-2</v>
      </c>
      <c r="AU25" s="34">
        <f t="shared" si="23"/>
        <v>2.5000000000000001E-2</v>
      </c>
      <c r="AV25" s="126">
        <f t="shared" ca="1" si="13"/>
        <v>0.84126523508341944</v>
      </c>
      <c r="AW25" s="126">
        <f t="shared" ca="1" si="14"/>
        <v>91.535703124999969</v>
      </c>
      <c r="AX25" s="129">
        <f t="shared" ca="1" si="15"/>
        <v>2.9614492187499999</v>
      </c>
      <c r="AY25" s="1"/>
      <c r="AZ25" s="1"/>
      <c r="BA25" s="1"/>
      <c r="BB25" s="1"/>
      <c r="BC25" s="1"/>
      <c r="BD25" s="1"/>
      <c r="BE25" s="1"/>
      <c r="BF25" s="1"/>
      <c r="BG25" s="1"/>
      <c r="BH25" s="1"/>
      <c r="BI25" s="1"/>
    </row>
    <row r="26" spans="1:61">
      <c r="A26" s="108">
        <f t="shared" si="24"/>
        <v>2034</v>
      </c>
      <c r="B26" s="40">
        <f t="shared" si="16"/>
        <v>91.386313795400326</v>
      </c>
      <c r="C26" s="40">
        <f t="shared" si="29"/>
        <v>114.23289224425041</v>
      </c>
      <c r="D26" s="40">
        <f t="shared" si="30"/>
        <v>4.0317491380323665</v>
      </c>
      <c r="E26" s="40">
        <f t="shared" si="27"/>
        <v>0.73</v>
      </c>
      <c r="F26" s="34">
        <v>0.03</v>
      </c>
      <c r="G26" s="34">
        <f t="shared" si="41"/>
        <v>2.5000000000000001E-2</v>
      </c>
      <c r="H26" s="126">
        <f t="shared" ca="1" si="0"/>
        <v>0.7894092343139355</v>
      </c>
      <c r="I26" s="126">
        <f t="shared" ca="1" si="1"/>
        <v>90.176500000000019</v>
      </c>
      <c r="J26" s="129">
        <f t="shared" ca="1" si="2"/>
        <v>3.1827000000000001</v>
      </c>
      <c r="K26" s="1"/>
      <c r="L26" s="40">
        <f t="shared" si="31"/>
        <v>91.386313795400326</v>
      </c>
      <c r="M26" s="40">
        <f t="shared" si="32"/>
        <v>114.23289224425041</v>
      </c>
      <c r="N26" s="40">
        <f t="shared" si="33"/>
        <v>4.0317491380323665</v>
      </c>
      <c r="O26" s="40">
        <f t="shared" si="34"/>
        <v>0.73</v>
      </c>
      <c r="P26" s="34">
        <f t="shared" si="42"/>
        <v>3.5000000000000003E-2</v>
      </c>
      <c r="Q26" s="34">
        <f t="shared" si="17"/>
        <v>2.9750000000000002E-2</v>
      </c>
      <c r="R26" s="126">
        <f t="shared" ca="1" si="4"/>
        <v>0.75138707989419251</v>
      </c>
      <c r="S26" s="126">
        <f t="shared" ca="1" si="5"/>
        <v>85.83311933127527</v>
      </c>
      <c r="T26" s="129">
        <f t="shared" ca="1" si="6"/>
        <v>3.0294042116920674</v>
      </c>
      <c r="U26" s="1"/>
      <c r="V26" s="40">
        <f t="shared" si="35"/>
        <v>118.00368674551693</v>
      </c>
      <c r="W26" s="40">
        <f t="shared" si="36"/>
        <v>147.5046084318962</v>
      </c>
      <c r="X26" s="40">
        <f t="shared" si="37"/>
        <v>5.2060450034786871</v>
      </c>
      <c r="Y26" s="40">
        <f t="shared" si="18"/>
        <v>0.73</v>
      </c>
      <c r="Z26" s="34">
        <v>2.5000000000000001E-2</v>
      </c>
      <c r="AA26" s="34">
        <f t="shared" si="19"/>
        <v>2.5000000000000001E-2</v>
      </c>
      <c r="AB26" s="126">
        <f t="shared" ca="1" si="7"/>
        <v>0.82074657081309221</v>
      </c>
      <c r="AC26" s="126">
        <f t="shared" ca="1" si="8"/>
        <v>121.06390154960674</v>
      </c>
      <c r="AD26" s="129">
        <f t="shared" ca="1" si="9"/>
        <v>4.2728435841037653</v>
      </c>
      <c r="AE26" s="1"/>
      <c r="AF26" s="40">
        <f t="shared" si="38"/>
        <v>80.411432554807476</v>
      </c>
      <c r="AG26" s="40">
        <f t="shared" si="39"/>
        <v>100.51429069350934</v>
      </c>
      <c r="AH26" s="40">
        <f t="shared" si="40"/>
        <v>3.5475632009473874</v>
      </c>
      <c r="AI26" s="40">
        <f t="shared" si="20"/>
        <v>0.73</v>
      </c>
      <c r="AJ26" s="34">
        <v>2.5000000000000001E-2</v>
      </c>
      <c r="AK26" s="34">
        <f t="shared" si="21"/>
        <v>2.5000000000000001E-2</v>
      </c>
      <c r="AL26" s="126">
        <f t="shared" ca="1" si="10"/>
        <v>0.82074657081309221</v>
      </c>
      <c r="AM26" s="126">
        <f t="shared" ca="1" si="11"/>
        <v>82.496759404408095</v>
      </c>
      <c r="AN26" s="129">
        <f t="shared" ca="1" si="12"/>
        <v>2.9116503319202849</v>
      </c>
      <c r="AO26" s="1"/>
      <c r="AP26" s="40">
        <f t="shared" si="28"/>
        <v>89.221892730486061</v>
      </c>
      <c r="AQ26" s="40">
        <f t="shared" si="25"/>
        <v>111.52736591310754</v>
      </c>
      <c r="AR26" s="40">
        <f t="shared" si="26"/>
        <v>3.6082383089534802</v>
      </c>
      <c r="AS26" s="40">
        <f t="shared" si="22"/>
        <v>0.73</v>
      </c>
      <c r="AT26" s="34">
        <v>2.5000000000000001E-2</v>
      </c>
      <c r="AU26" s="34">
        <f t="shared" si="23"/>
        <v>2.5000000000000001E-2</v>
      </c>
      <c r="AV26" s="126">
        <f t="shared" ca="1" si="13"/>
        <v>0.82074657081309221</v>
      </c>
      <c r="AW26" s="126">
        <f t="shared" ca="1" si="14"/>
        <v>91.535703124999969</v>
      </c>
      <c r="AX26" s="129">
        <f t="shared" ca="1" si="15"/>
        <v>2.9614492187499994</v>
      </c>
      <c r="AY26" s="1"/>
      <c r="AZ26" s="1"/>
      <c r="BA26" s="1"/>
      <c r="BB26" s="1"/>
      <c r="BC26" s="1"/>
      <c r="BD26" s="1"/>
      <c r="BE26" s="1"/>
      <c r="BF26" s="1"/>
      <c r="BG26" s="1"/>
      <c r="BH26" s="1"/>
      <c r="BI26" s="1"/>
    </row>
    <row r="27" spans="1:61">
      <c r="A27" s="108">
        <f t="shared" si="24"/>
        <v>2035</v>
      </c>
      <c r="B27" s="40">
        <f t="shared" si="16"/>
        <v>94.127903209262342</v>
      </c>
      <c r="C27" s="40">
        <f t="shared" si="29"/>
        <v>117.65987901157793</v>
      </c>
      <c r="D27" s="40">
        <f t="shared" si="30"/>
        <v>4.1527016121733373</v>
      </c>
      <c r="E27" s="40">
        <f t="shared" si="27"/>
        <v>0.73</v>
      </c>
      <c r="F27" s="34">
        <v>0.03</v>
      </c>
      <c r="G27" s="34">
        <f t="shared" si="41"/>
        <v>2.5000000000000001E-2</v>
      </c>
      <c r="H27" s="126">
        <f t="shared" ca="1" si="0"/>
        <v>0.76641673234362673</v>
      </c>
      <c r="I27" s="126">
        <f t="shared" ca="1" si="1"/>
        <v>90.176500000000019</v>
      </c>
      <c r="J27" s="129">
        <f t="shared" ca="1" si="2"/>
        <v>3.1827000000000001</v>
      </c>
      <c r="K27" s="1"/>
      <c r="L27" s="40">
        <f t="shared" si="31"/>
        <v>94.127903209262342</v>
      </c>
      <c r="M27" s="40">
        <f t="shared" si="32"/>
        <v>117.65987901157793</v>
      </c>
      <c r="N27" s="40">
        <f t="shared" si="33"/>
        <v>4.1527016121733373</v>
      </c>
      <c r="O27" s="40">
        <f t="shared" si="34"/>
        <v>0.73</v>
      </c>
      <c r="P27" s="34">
        <f t="shared" si="42"/>
        <v>3.5000000000000003E-2</v>
      </c>
      <c r="Q27" s="34">
        <f t="shared" si="17"/>
        <v>2.9750000000000002E-2</v>
      </c>
      <c r="R27" s="126">
        <f t="shared" ca="1" si="4"/>
        <v>0.72597785497023437</v>
      </c>
      <c r="S27" s="126">
        <f t="shared" ca="1" si="5"/>
        <v>85.418466580882651</v>
      </c>
      <c r="T27" s="129">
        <f t="shared" ca="1" si="6"/>
        <v>3.0147694087370334</v>
      </c>
      <c r="U27" s="1"/>
      <c r="V27" s="40">
        <f t="shared" si="35"/>
        <v>124.28538676174446</v>
      </c>
      <c r="W27" s="40">
        <f t="shared" si="36"/>
        <v>155.35673345218061</v>
      </c>
      <c r="X27" s="40">
        <f t="shared" si="37"/>
        <v>5.4831788277240188</v>
      </c>
      <c r="Y27" s="40">
        <f t="shared" si="18"/>
        <v>0.73</v>
      </c>
      <c r="Z27" s="34">
        <v>2.5000000000000001E-2</v>
      </c>
      <c r="AA27" s="34">
        <f t="shared" si="19"/>
        <v>2.5000000000000001E-2</v>
      </c>
      <c r="AB27" s="126">
        <f t="shared" ca="1" si="7"/>
        <v>0.80072836176887052</v>
      </c>
      <c r="AC27" s="126">
        <f t="shared" ca="1" si="8"/>
        <v>124.39854266692767</v>
      </c>
      <c r="AD27" s="129">
        <f t="shared" ca="1" si="9"/>
        <v>4.3905368000092091</v>
      </c>
      <c r="AE27" s="1"/>
      <c r="AF27" s="40">
        <f t="shared" si="38"/>
        <v>81.946850480347379</v>
      </c>
      <c r="AG27" s="40">
        <f t="shared" si="39"/>
        <v>102.43356310043421</v>
      </c>
      <c r="AH27" s="40">
        <f t="shared" si="40"/>
        <v>3.6153022270741473</v>
      </c>
      <c r="AI27" s="40">
        <f t="shared" si="20"/>
        <v>0.73</v>
      </c>
      <c r="AJ27" s="34">
        <v>2.5000000000000001E-2</v>
      </c>
      <c r="AK27" s="34">
        <f t="shared" si="21"/>
        <v>2.5000000000000001E-2</v>
      </c>
      <c r="AL27" s="126">
        <f t="shared" ca="1" si="10"/>
        <v>0.80072836176887052</v>
      </c>
      <c r="AM27" s="126">
        <f t="shared" ca="1" si="11"/>
        <v>82.021459171558917</v>
      </c>
      <c r="AN27" s="129">
        <f t="shared" ca="1" si="12"/>
        <v>2.8948750295844312</v>
      </c>
      <c r="AO27" s="1"/>
      <c r="AP27" s="40">
        <f t="shared" si="28"/>
        <v>91.452440048748201</v>
      </c>
      <c r="AQ27" s="40">
        <f t="shared" si="25"/>
        <v>114.31555006093522</v>
      </c>
      <c r="AR27" s="40">
        <f t="shared" si="26"/>
        <v>3.698444266677317</v>
      </c>
      <c r="AS27" s="40">
        <f t="shared" si="22"/>
        <v>0.73</v>
      </c>
      <c r="AT27" s="34">
        <v>2.5000000000000001E-2</v>
      </c>
      <c r="AU27" s="34">
        <f t="shared" si="23"/>
        <v>2.5000000000000001E-2</v>
      </c>
      <c r="AV27" s="126">
        <f t="shared" ca="1" si="13"/>
        <v>0.80072836176887052</v>
      </c>
      <c r="AW27" s="126">
        <f t="shared" ca="1" si="14"/>
        <v>91.535703124999969</v>
      </c>
      <c r="AX27" s="129">
        <f t="shared" ca="1" si="15"/>
        <v>2.9614492187499999</v>
      </c>
      <c r="AY27" s="1"/>
      <c r="AZ27" s="1"/>
      <c r="BA27" s="1"/>
      <c r="BB27" s="1"/>
      <c r="BC27" s="1"/>
      <c r="BD27" s="1"/>
      <c r="BE27" s="1"/>
      <c r="BF27" s="1"/>
      <c r="BG27" s="1"/>
      <c r="BH27" s="1"/>
      <c r="BI27" s="1"/>
    </row>
    <row r="28" spans="1:61">
      <c r="A28" s="108">
        <f t="shared" si="24"/>
        <v>2036</v>
      </c>
      <c r="B28" s="40">
        <f t="shared" si="16"/>
        <v>96.951740305540227</v>
      </c>
      <c r="C28" s="40">
        <f t="shared" si="29"/>
        <v>121.18967538192527</v>
      </c>
      <c r="D28" s="40">
        <f t="shared" si="30"/>
        <v>4.2772826605385372</v>
      </c>
      <c r="E28" s="40">
        <f t="shared" si="27"/>
        <v>0.73</v>
      </c>
      <c r="F28" s="34">
        <v>0.03</v>
      </c>
      <c r="G28" s="34">
        <f t="shared" si="41"/>
        <v>2.5000000000000001E-2</v>
      </c>
      <c r="H28" s="126">
        <f t="shared" ca="1" si="0"/>
        <v>0.74409391489672494</v>
      </c>
      <c r="I28" s="126">
        <f t="shared" ca="1" si="1"/>
        <v>90.176500000000019</v>
      </c>
      <c r="J28" s="129">
        <f t="shared" ca="1" si="2"/>
        <v>3.1826999999999996</v>
      </c>
      <c r="K28" s="1"/>
      <c r="L28" s="40">
        <f t="shared" si="31"/>
        <v>96.951740305540227</v>
      </c>
      <c r="M28" s="40">
        <f t="shared" si="32"/>
        <v>121.18967538192527</v>
      </c>
      <c r="N28" s="40">
        <f t="shared" si="33"/>
        <v>4.2772826605385372</v>
      </c>
      <c r="O28" s="40">
        <f t="shared" si="34"/>
        <v>0.73</v>
      </c>
      <c r="P28" s="34">
        <f t="shared" si="42"/>
        <v>3.5000000000000003E-2</v>
      </c>
      <c r="Q28" s="34">
        <f t="shared" si="17"/>
        <v>2.9750000000000002E-2</v>
      </c>
      <c r="R28" s="126">
        <f t="shared" ca="1" si="4"/>
        <v>0.70142787919829408</v>
      </c>
      <c r="S28" s="126">
        <f t="shared" ca="1" si="5"/>
        <v>85.005816983873558</v>
      </c>
      <c r="T28" s="129">
        <f t="shared" ca="1" si="6"/>
        <v>3.000205305313183</v>
      </c>
      <c r="U28" s="1"/>
      <c r="V28" s="40">
        <f t="shared" si="35"/>
        <v>130.83778546087467</v>
      </c>
      <c r="W28" s="40">
        <f t="shared" si="36"/>
        <v>163.54723182609337</v>
      </c>
      <c r="X28" s="40">
        <f t="shared" si="37"/>
        <v>5.7722552409209396</v>
      </c>
      <c r="Y28" s="40">
        <f t="shared" si="18"/>
        <v>0.73</v>
      </c>
      <c r="Z28" s="34">
        <v>2.5000000000000001E-2</v>
      </c>
      <c r="AA28" s="34">
        <f t="shared" si="19"/>
        <v>2.5000000000000001E-2</v>
      </c>
      <c r="AB28" s="126">
        <f t="shared" ca="1" si="7"/>
        <v>0.78119840172572741</v>
      </c>
      <c r="AC28" s="126">
        <f t="shared" ca="1" si="8"/>
        <v>127.76283610921115</v>
      </c>
      <c r="AD28" s="129">
        <f t="shared" ca="1" si="9"/>
        <v>4.5092765685603915</v>
      </c>
      <c r="AE28" s="1"/>
      <c r="AF28" s="40">
        <f t="shared" si="38"/>
        <v>83.541484819420049</v>
      </c>
      <c r="AG28" s="40">
        <f t="shared" si="39"/>
        <v>104.42685602427504</v>
      </c>
      <c r="AH28" s="40">
        <f t="shared" si="40"/>
        <v>3.6856537420332347</v>
      </c>
      <c r="AI28" s="40">
        <f t="shared" si="20"/>
        <v>0.73</v>
      </c>
      <c r="AJ28" s="34">
        <v>2.5000000000000001E-2</v>
      </c>
      <c r="AK28" s="34">
        <f t="shared" si="21"/>
        <v>2.5000000000000001E-2</v>
      </c>
      <c r="AL28" s="126">
        <f t="shared" ca="1" si="10"/>
        <v>0.78119840172572741</v>
      </c>
      <c r="AM28" s="126">
        <f t="shared" ca="1" si="11"/>
        <v>81.578093023406311</v>
      </c>
      <c r="AN28" s="129">
        <f t="shared" ca="1" si="12"/>
        <v>2.8792268125908094</v>
      </c>
      <c r="AO28" s="1"/>
      <c r="AP28" s="40">
        <f t="shared" si="28"/>
        <v>93.738751049966893</v>
      </c>
      <c r="AQ28" s="40">
        <f t="shared" si="25"/>
        <v>117.1734388124586</v>
      </c>
      <c r="AR28" s="40">
        <f t="shared" si="26"/>
        <v>3.7909053733442497</v>
      </c>
      <c r="AS28" s="40">
        <f t="shared" si="22"/>
        <v>0.73</v>
      </c>
      <c r="AT28" s="34">
        <v>2.5000000000000001E-2</v>
      </c>
      <c r="AU28" s="34">
        <f t="shared" si="23"/>
        <v>2.5000000000000001E-2</v>
      </c>
      <c r="AV28" s="126">
        <f t="shared" ca="1" si="13"/>
        <v>0.78119840172572741</v>
      </c>
      <c r="AW28" s="126">
        <f t="shared" ca="1" si="14"/>
        <v>91.535703124999969</v>
      </c>
      <c r="AX28" s="129">
        <f t="shared" ca="1" si="15"/>
        <v>2.9614492187499999</v>
      </c>
      <c r="AY28" s="1"/>
      <c r="AZ28" s="1"/>
      <c r="BA28" s="1"/>
      <c r="BB28" s="1"/>
      <c r="BC28" s="1"/>
      <c r="BD28" s="1"/>
      <c r="BE28" s="1"/>
      <c r="BF28" s="1"/>
      <c r="BG28" s="1"/>
      <c r="BH28" s="1"/>
      <c r="BI28" s="1"/>
    </row>
    <row r="29" spans="1:61">
      <c r="A29" s="108">
        <f t="shared" si="24"/>
        <v>2037</v>
      </c>
      <c r="B29" s="40">
        <f t="shared" si="16"/>
        <v>99.86029251470643</v>
      </c>
      <c r="C29" s="40">
        <f t="shared" si="29"/>
        <v>124.82536564338304</v>
      </c>
      <c r="D29" s="40">
        <f t="shared" si="30"/>
        <v>4.4056011403546931</v>
      </c>
      <c r="E29" s="40">
        <f t="shared" si="27"/>
        <v>0.73</v>
      </c>
      <c r="F29" s="34">
        <v>0.03</v>
      </c>
      <c r="G29" s="34">
        <f t="shared" si="41"/>
        <v>2.5000000000000001E-2</v>
      </c>
      <c r="H29" s="126">
        <f t="shared" ca="1" si="0"/>
        <v>0.7224212765987621</v>
      </c>
      <c r="I29" s="126">
        <f t="shared" ca="1" si="1"/>
        <v>90.176500000000033</v>
      </c>
      <c r="J29" s="129">
        <f t="shared" ca="1" si="2"/>
        <v>3.1826999999999996</v>
      </c>
      <c r="K29" s="1"/>
      <c r="L29" s="40">
        <f t="shared" si="31"/>
        <v>99.86029251470643</v>
      </c>
      <c r="M29" s="40">
        <f t="shared" si="32"/>
        <v>124.82536564338304</v>
      </c>
      <c r="N29" s="40">
        <f t="shared" si="33"/>
        <v>4.4056011403546931</v>
      </c>
      <c r="O29" s="40">
        <f t="shared" si="34"/>
        <v>0.73</v>
      </c>
      <c r="P29" s="34">
        <f t="shared" si="42"/>
        <v>3.5000000000000003E-2</v>
      </c>
      <c r="Q29" s="34">
        <f t="shared" si="17"/>
        <v>2.9750000000000002E-2</v>
      </c>
      <c r="R29" s="126">
        <f t="shared" ca="1" si="4"/>
        <v>0.67770809584376246</v>
      </c>
      <c r="S29" s="126">
        <f t="shared" ca="1" si="5"/>
        <v>84.595160863178521</v>
      </c>
      <c r="T29" s="129">
        <f t="shared" ca="1" si="6"/>
        <v>2.9857115598768877</v>
      </c>
      <c r="U29" s="1"/>
      <c r="V29" s="40">
        <f t="shared" si="35"/>
        <v>137.67147123386712</v>
      </c>
      <c r="W29" s="40">
        <f t="shared" si="36"/>
        <v>172.08933904233393</v>
      </c>
      <c r="X29" s="40">
        <f t="shared" si="37"/>
        <v>6.0737413779647236</v>
      </c>
      <c r="Y29" s="40">
        <f t="shared" si="18"/>
        <v>0.73</v>
      </c>
      <c r="Z29" s="34">
        <v>2.5000000000000001E-2</v>
      </c>
      <c r="AA29" s="34">
        <f t="shared" si="19"/>
        <v>2.5000000000000001E-2</v>
      </c>
      <c r="AB29" s="126">
        <f t="shared" ca="1" si="7"/>
        <v>0.76214478217144144</v>
      </c>
      <c r="AC29" s="126">
        <f t="shared" ca="1" si="8"/>
        <v>131.15699181844693</v>
      </c>
      <c r="AD29" s="129">
        <f t="shared" ca="1" si="9"/>
        <v>4.6290702994745949</v>
      </c>
      <c r="AE29" s="1"/>
      <c r="AF29" s="40">
        <f t="shared" si="38"/>
        <v>85.196914756294944</v>
      </c>
      <c r="AG29" s="40">
        <f t="shared" si="39"/>
        <v>106.49614344536867</v>
      </c>
      <c r="AH29" s="40">
        <f t="shared" si="40"/>
        <v>3.7586874157188919</v>
      </c>
      <c r="AI29" s="40">
        <f t="shared" si="20"/>
        <v>0.73</v>
      </c>
      <c r="AJ29" s="34">
        <v>2.5000000000000001E-2</v>
      </c>
      <c r="AK29" s="34">
        <f t="shared" si="21"/>
        <v>2.5000000000000001E-2</v>
      </c>
      <c r="AL29" s="126">
        <f t="shared" ca="1" si="10"/>
        <v>0.76214478217144144</v>
      </c>
      <c r="AM29" s="126">
        <f t="shared" ca="1" si="11"/>
        <v>81.165480048269089</v>
      </c>
      <c r="AN29" s="129">
        <f t="shared" ca="1" si="12"/>
        <v>2.8646640017036131</v>
      </c>
      <c r="AO29" s="1"/>
      <c r="AP29" s="40">
        <f t="shared" si="28"/>
        <v>96.082219826216061</v>
      </c>
      <c r="AQ29" s="40">
        <f t="shared" si="25"/>
        <v>120.10277478277006</v>
      </c>
      <c r="AR29" s="40">
        <f t="shared" si="26"/>
        <v>3.8856780076778556</v>
      </c>
      <c r="AS29" s="40">
        <f t="shared" si="22"/>
        <v>0.73</v>
      </c>
      <c r="AT29" s="34">
        <v>2.5000000000000001E-2</v>
      </c>
      <c r="AU29" s="34">
        <f t="shared" si="23"/>
        <v>2.5000000000000001E-2</v>
      </c>
      <c r="AV29" s="126">
        <f t="shared" ca="1" si="13"/>
        <v>0.76214478217144144</v>
      </c>
      <c r="AW29" s="126">
        <f t="shared" ca="1" si="14"/>
        <v>91.535703124999969</v>
      </c>
      <c r="AX29" s="129">
        <f t="shared" ca="1" si="15"/>
        <v>2.9614492187499999</v>
      </c>
      <c r="AY29" s="1"/>
      <c r="AZ29" s="1"/>
      <c r="BA29" s="1"/>
      <c r="BB29" s="1"/>
      <c r="BC29" s="1"/>
      <c r="BD29" s="1"/>
      <c r="BE29" s="1"/>
      <c r="BF29" s="1"/>
      <c r="BG29" s="1"/>
      <c r="BH29" s="1"/>
      <c r="BI29" s="1"/>
    </row>
    <row r="30" spans="1:61">
      <c r="A30" s="108">
        <f t="shared" si="24"/>
        <v>2038</v>
      </c>
      <c r="B30" s="40">
        <f t="shared" si="16"/>
        <v>102.85610129014763</v>
      </c>
      <c r="C30" s="40">
        <f t="shared" si="29"/>
        <v>128.57012661268453</v>
      </c>
      <c r="D30" s="40">
        <f t="shared" si="30"/>
        <v>4.5377691745653337</v>
      </c>
      <c r="E30" s="40">
        <f t="shared" si="27"/>
        <v>0.73</v>
      </c>
      <c r="F30" s="34">
        <v>0.03</v>
      </c>
      <c r="G30" s="34">
        <f t="shared" si="41"/>
        <v>2.5000000000000001E-2</v>
      </c>
      <c r="H30" s="126">
        <f t="shared" ca="1" si="0"/>
        <v>0.70137988019297293</v>
      </c>
      <c r="I30" s="126">
        <f t="shared" ca="1" si="1"/>
        <v>90.176500000000033</v>
      </c>
      <c r="J30" s="129">
        <f t="shared" ca="1" si="2"/>
        <v>3.1826999999999992</v>
      </c>
      <c r="K30" s="1"/>
      <c r="L30" s="40">
        <f t="shared" si="31"/>
        <v>102.85610129014763</v>
      </c>
      <c r="M30" s="40">
        <f t="shared" si="32"/>
        <v>128.57012661268453</v>
      </c>
      <c r="N30" s="40">
        <f t="shared" si="33"/>
        <v>4.5377691745653337</v>
      </c>
      <c r="O30" s="40">
        <f t="shared" si="34"/>
        <v>0.73</v>
      </c>
      <c r="P30" s="34">
        <f t="shared" si="42"/>
        <v>3.5000000000000003E-2</v>
      </c>
      <c r="Q30" s="34">
        <f t="shared" si="17"/>
        <v>2.9750000000000002E-2</v>
      </c>
      <c r="R30" s="126">
        <f t="shared" ca="1" si="4"/>
        <v>0.65479043076692034</v>
      </c>
      <c r="S30" s="126">
        <f t="shared" ca="1" si="5"/>
        <v>84.186488588477189</v>
      </c>
      <c r="T30" s="129">
        <f t="shared" ca="1" si="6"/>
        <v>2.9712878325344874</v>
      </c>
      <c r="U30" s="1"/>
      <c r="V30" s="40">
        <f t="shared" si="35"/>
        <v>144.79742414632432</v>
      </c>
      <c r="W30" s="40">
        <f t="shared" si="36"/>
        <v>180.99678018290544</v>
      </c>
      <c r="X30" s="40">
        <f t="shared" si="37"/>
        <v>6.3881216535143057</v>
      </c>
      <c r="Y30" s="40">
        <f t="shared" si="18"/>
        <v>0.73</v>
      </c>
      <c r="Z30" s="34">
        <v>2.5000000000000001E-2</v>
      </c>
      <c r="AA30" s="34">
        <f t="shared" si="19"/>
        <v>2.5000000000000001E-2</v>
      </c>
      <c r="AB30" s="126">
        <f t="shared" ca="1" si="7"/>
        <v>0.74355588504530878</v>
      </c>
      <c r="AC30" s="126">
        <f t="shared" ca="1" si="8"/>
        <v>134.58122107925146</v>
      </c>
      <c r="AD30" s="129">
        <f t="shared" ca="1" si="9"/>
        <v>4.7499254498559313</v>
      </c>
      <c r="AE30" s="1"/>
      <c r="AF30" s="40">
        <f t="shared" si="38"/>
        <v>86.914769810391718</v>
      </c>
      <c r="AG30" s="40">
        <f t="shared" si="39"/>
        <v>108.64346226298964</v>
      </c>
      <c r="AH30" s="40">
        <f t="shared" si="40"/>
        <v>3.8344751386937492</v>
      </c>
      <c r="AI30" s="40">
        <f t="shared" si="20"/>
        <v>0.73</v>
      </c>
      <c r="AJ30" s="34">
        <v>2.5000000000000001E-2</v>
      </c>
      <c r="AK30" s="34">
        <f t="shared" si="21"/>
        <v>2.5000000000000001E-2</v>
      </c>
      <c r="AL30" s="126">
        <f t="shared" ca="1" si="10"/>
        <v>0.74355588504530878</v>
      </c>
      <c r="AM30" s="126">
        <f t="shared" ca="1" si="11"/>
        <v>80.782485737343876</v>
      </c>
      <c r="AN30" s="129">
        <f t="shared" ca="1" si="12"/>
        <v>2.8511465554356636</v>
      </c>
      <c r="AO30" s="1"/>
      <c r="AP30" s="40">
        <f t="shared" si="28"/>
        <v>98.484275321871451</v>
      </c>
      <c r="AQ30" s="40">
        <f t="shared" si="25"/>
        <v>123.1053441523393</v>
      </c>
      <c r="AR30" s="40">
        <f t="shared" si="26"/>
        <v>3.9828199578698018</v>
      </c>
      <c r="AS30" s="40">
        <f t="shared" si="22"/>
        <v>0.73</v>
      </c>
      <c r="AT30" s="34">
        <v>2.5000000000000001E-2</v>
      </c>
      <c r="AU30" s="34">
        <f t="shared" si="23"/>
        <v>2.5000000000000001E-2</v>
      </c>
      <c r="AV30" s="126">
        <f t="shared" ca="1" si="13"/>
        <v>0.74355588504530878</v>
      </c>
      <c r="AW30" s="126">
        <f t="shared" ca="1" si="14"/>
        <v>91.535703124999969</v>
      </c>
      <c r="AX30" s="129">
        <f t="shared" ca="1" si="15"/>
        <v>2.9614492187499999</v>
      </c>
      <c r="AY30" s="1"/>
      <c r="AZ30" s="1"/>
      <c r="BA30" s="1"/>
      <c r="BB30" s="1"/>
      <c r="BC30" s="1"/>
      <c r="BD30" s="1"/>
      <c r="BE30" s="1"/>
      <c r="BF30" s="1"/>
      <c r="BG30" s="1"/>
      <c r="BH30" s="1"/>
      <c r="BI30" s="1"/>
    </row>
    <row r="31" spans="1:61">
      <c r="A31" s="108">
        <f t="shared" si="24"/>
        <v>2039</v>
      </c>
      <c r="B31" s="40">
        <f t="shared" si="16"/>
        <v>105.94178432885207</v>
      </c>
      <c r="C31" s="40">
        <f t="shared" si="29"/>
        <v>132.42723041106507</v>
      </c>
      <c r="D31" s="40">
        <f t="shared" si="30"/>
        <v>4.6739022498022935</v>
      </c>
      <c r="E31" s="40">
        <f t="shared" si="27"/>
        <v>0.73</v>
      </c>
      <c r="F31" s="34">
        <v>0.03</v>
      </c>
      <c r="G31" s="34">
        <f t="shared" si="41"/>
        <v>2.5000000000000001E-2</v>
      </c>
      <c r="H31" s="126">
        <f t="shared" ca="1" si="0"/>
        <v>0.68095133999317758</v>
      </c>
      <c r="I31" s="126">
        <f t="shared" ca="1" si="1"/>
        <v>90.176500000000033</v>
      </c>
      <c r="J31" s="129">
        <f t="shared" ca="1" si="2"/>
        <v>3.1826999999999992</v>
      </c>
      <c r="K31" s="1"/>
      <c r="L31" s="40">
        <f t="shared" si="31"/>
        <v>105.94178432885207</v>
      </c>
      <c r="M31" s="40">
        <f t="shared" si="32"/>
        <v>132.42723041106507</v>
      </c>
      <c r="N31" s="40">
        <f t="shared" si="33"/>
        <v>4.6739022498022935</v>
      </c>
      <c r="O31" s="40">
        <f t="shared" si="34"/>
        <v>0.73</v>
      </c>
      <c r="P31" s="34">
        <f t="shared" si="42"/>
        <v>3.5000000000000003E-2</v>
      </c>
      <c r="Q31" s="34">
        <f t="shared" si="17"/>
        <v>2.9750000000000002E-2</v>
      </c>
      <c r="R31" s="126">
        <f t="shared" ca="1" si="4"/>
        <v>0.6326477591950922</v>
      </c>
      <c r="S31" s="126">
        <f t="shared" ca="1" si="5"/>
        <v>83.779790575972484</v>
      </c>
      <c r="T31" s="129">
        <f t="shared" ca="1" si="6"/>
        <v>2.9569337850343209</v>
      </c>
      <c r="U31" s="1"/>
      <c r="V31" s="40">
        <f t="shared" si="35"/>
        <v>152.22702990941849</v>
      </c>
      <c r="W31" s="40">
        <f t="shared" si="36"/>
        <v>190.28378738677316</v>
      </c>
      <c r="X31" s="40">
        <f t="shared" si="37"/>
        <v>6.7158983783566946</v>
      </c>
      <c r="Y31" s="40">
        <f t="shared" si="18"/>
        <v>0.73</v>
      </c>
      <c r="Z31" s="34">
        <v>2.5000000000000001E-2</v>
      </c>
      <c r="AA31" s="34">
        <f t="shared" si="19"/>
        <v>2.5000000000000001E-2</v>
      </c>
      <c r="AB31" s="126">
        <f t="shared" ca="1" si="7"/>
        <v>0.72542037565395989</v>
      </c>
      <c r="AC31" s="126">
        <f t="shared" ca="1" si="8"/>
        <v>138.03573652697122</v>
      </c>
      <c r="AD31" s="129">
        <f t="shared" ca="1" si="9"/>
        <v>4.8718495244813331</v>
      </c>
      <c r="AE31" s="1"/>
      <c r="AF31" s="40">
        <f t="shared" si="38"/>
        <v>88.696731301940275</v>
      </c>
      <c r="AG31" s="40">
        <f t="shared" si="39"/>
        <v>110.87091412742534</v>
      </c>
      <c r="AH31" s="40">
        <f t="shared" si="40"/>
        <v>3.9130910868503026</v>
      </c>
      <c r="AI31" s="40">
        <f t="shared" si="20"/>
        <v>0.73</v>
      </c>
      <c r="AJ31" s="34">
        <v>2.5000000000000001E-2</v>
      </c>
      <c r="AK31" s="34">
        <f t="shared" si="21"/>
        <v>2.5000000000000001E-2</v>
      </c>
      <c r="AL31" s="126">
        <f t="shared" ca="1" si="10"/>
        <v>0.72542037565395989</v>
      </c>
      <c r="AM31" s="126">
        <f t="shared" ca="1" si="11"/>
        <v>80.428020175414815</v>
      </c>
      <c r="AN31" s="129">
        <f t="shared" ca="1" si="12"/>
        <v>2.8386360061911087</v>
      </c>
      <c r="AO31" s="1"/>
      <c r="AP31" s="40">
        <f t="shared" si="28"/>
        <v>100.94638220491822</v>
      </c>
      <c r="AQ31" s="40">
        <f t="shared" si="25"/>
        <v>126.18297775614776</v>
      </c>
      <c r="AR31" s="40">
        <f t="shared" si="26"/>
        <v>4.0823904568165466</v>
      </c>
      <c r="AS31" s="40">
        <f t="shared" si="22"/>
        <v>0.73</v>
      </c>
      <c r="AT31" s="34">
        <v>2.5000000000000001E-2</v>
      </c>
      <c r="AU31" s="34">
        <f t="shared" si="23"/>
        <v>2.5000000000000001E-2</v>
      </c>
      <c r="AV31" s="126">
        <f t="shared" ca="1" si="13"/>
        <v>0.72542037565395989</v>
      </c>
      <c r="AW31" s="126">
        <f t="shared" ca="1" si="14"/>
        <v>91.535703124999969</v>
      </c>
      <c r="AX31" s="129">
        <f t="shared" ca="1" si="15"/>
        <v>2.9614492187500003</v>
      </c>
      <c r="AY31" s="1"/>
      <c r="AZ31" s="1"/>
      <c r="BA31" s="1"/>
      <c r="BB31" s="1"/>
      <c r="BC31" s="1"/>
      <c r="BD31" s="1"/>
      <c r="BE31" s="1"/>
      <c r="BF31" s="1"/>
      <c r="BG31" s="1"/>
      <c r="BH31" s="1"/>
      <c r="BI31" s="1"/>
    </row>
    <row r="32" spans="1:61">
      <c r="A32" s="108">
        <f t="shared" si="24"/>
        <v>2040</v>
      </c>
      <c r="B32" s="40">
        <f t="shared" si="16"/>
        <v>109.12003785871762</v>
      </c>
      <c r="C32" s="40">
        <f t="shared" si="29"/>
        <v>136.40004732339702</v>
      </c>
      <c r="D32" s="40">
        <f t="shared" si="30"/>
        <v>4.8141193172963623</v>
      </c>
      <c r="E32" s="40">
        <f t="shared" si="27"/>
        <v>0.73</v>
      </c>
      <c r="F32" s="34">
        <v>0.03</v>
      </c>
      <c r="G32" s="34">
        <f t="shared" si="41"/>
        <v>2.5000000000000001E-2</v>
      </c>
      <c r="H32" s="126">
        <f t="shared" ca="1" si="0"/>
        <v>0.66111780581861901</v>
      </c>
      <c r="I32" s="126">
        <f t="shared" ca="1" si="1"/>
        <v>90.176500000000033</v>
      </c>
      <c r="J32" s="129">
        <f t="shared" ca="1" si="2"/>
        <v>3.1826999999999992</v>
      </c>
      <c r="K32" s="1"/>
      <c r="L32" s="40">
        <f t="shared" si="31"/>
        <v>109.12003785871762</v>
      </c>
      <c r="M32" s="40">
        <f t="shared" si="32"/>
        <v>136.40004732339702</v>
      </c>
      <c r="N32" s="40">
        <f t="shared" si="33"/>
        <v>4.8141193172963623</v>
      </c>
      <c r="O32" s="40">
        <f t="shared" si="34"/>
        <v>0.73</v>
      </c>
      <c r="P32" s="34">
        <f t="shared" si="42"/>
        <v>3.5000000000000003E-2</v>
      </c>
      <c r="Q32" s="34">
        <f t="shared" si="17"/>
        <v>2.9750000000000002E-2</v>
      </c>
      <c r="R32" s="126">
        <f t="shared" ca="1" si="4"/>
        <v>0.61125387361844663</v>
      </c>
      <c r="S32" s="126">
        <f t="shared" ca="1" si="5"/>
        <v>83.375057288165863</v>
      </c>
      <c r="T32" s="129">
        <f t="shared" ca="1" si="6"/>
        <v>2.9426490807587933</v>
      </c>
      <c r="U32" s="1"/>
      <c r="V32" s="40">
        <f t="shared" si="35"/>
        <v>159.97209433656661</v>
      </c>
      <c r="W32" s="40">
        <f t="shared" si="36"/>
        <v>199.96511792070831</v>
      </c>
      <c r="X32" s="40">
        <f t="shared" si="37"/>
        <v>7.0575923972014643</v>
      </c>
      <c r="Y32" s="40">
        <f t="shared" si="18"/>
        <v>0.73</v>
      </c>
      <c r="Z32" s="34">
        <v>2.5000000000000001E-2</v>
      </c>
      <c r="AA32" s="34">
        <f t="shared" si="19"/>
        <v>2.5000000000000001E-2</v>
      </c>
      <c r="AB32" s="126">
        <f t="shared" ca="1" si="7"/>
        <v>0.7077271957599609</v>
      </c>
      <c r="AC32" s="126">
        <f t="shared" ca="1" si="8"/>
        <v>141.52075215583281</v>
      </c>
      <c r="AD32" s="129">
        <f t="shared" ca="1" si="9"/>
        <v>4.9948500760882126</v>
      </c>
      <c r="AE32" s="1"/>
      <c r="AF32" s="40">
        <f t="shared" si="38"/>
        <v>90.544533862276722</v>
      </c>
      <c r="AG32" s="40">
        <f t="shared" si="39"/>
        <v>113.18066732784591</v>
      </c>
      <c r="AH32" s="40">
        <f t="shared" si="40"/>
        <v>3.9946117880416168</v>
      </c>
      <c r="AI32" s="40">
        <f t="shared" si="20"/>
        <v>0.73</v>
      </c>
      <c r="AJ32" s="34">
        <v>2.5000000000000001E-2</v>
      </c>
      <c r="AK32" s="34">
        <f t="shared" si="21"/>
        <v>2.5000000000000001E-2</v>
      </c>
      <c r="AL32" s="126">
        <f t="shared" ca="1" si="10"/>
        <v>0.7077271957599609</v>
      </c>
      <c r="AM32" s="126">
        <f t="shared" ca="1" si="11"/>
        <v>80.10103630217742</v>
      </c>
      <c r="AN32" s="129">
        <f t="shared" ca="1" si="12"/>
        <v>2.8270953989003766</v>
      </c>
      <c r="AO32" s="1"/>
      <c r="AP32" s="40">
        <f t="shared" si="28"/>
        <v>103.47004176004117</v>
      </c>
      <c r="AQ32" s="40">
        <f t="shared" si="25"/>
        <v>129.33755220005145</v>
      </c>
      <c r="AR32" s="40">
        <f t="shared" si="26"/>
        <v>4.1844502182369601</v>
      </c>
      <c r="AS32" s="40">
        <f t="shared" si="22"/>
        <v>0.73</v>
      </c>
      <c r="AT32" s="34">
        <v>2.5000000000000001E-2</v>
      </c>
      <c r="AU32" s="34">
        <f t="shared" si="23"/>
        <v>2.5000000000000001E-2</v>
      </c>
      <c r="AV32" s="126">
        <f t="shared" ca="1" si="13"/>
        <v>0.7077271957599609</v>
      </c>
      <c r="AW32" s="126">
        <f t="shared" ca="1" si="14"/>
        <v>91.535703124999969</v>
      </c>
      <c r="AX32" s="129">
        <f t="shared" ca="1" si="15"/>
        <v>2.9614492187500003</v>
      </c>
      <c r="AY32" s="1"/>
      <c r="AZ32" s="1"/>
      <c r="BA32" s="1"/>
      <c r="BB32" s="1"/>
      <c r="BC32" s="1"/>
      <c r="BD32" s="1"/>
      <c r="BE32" s="1"/>
      <c r="BF32" s="1"/>
      <c r="BG32" s="1"/>
      <c r="BH32" s="1"/>
      <c r="BI32" s="1"/>
    </row>
    <row r="33" spans="1:61">
      <c r="A33" s="108">
        <f t="shared" si="24"/>
        <v>2041</v>
      </c>
      <c r="B33" s="40">
        <f t="shared" si="16"/>
        <v>112.39363899447915</v>
      </c>
      <c r="C33" s="40">
        <f t="shared" si="29"/>
        <v>140.49204874309893</v>
      </c>
      <c r="D33" s="40">
        <f t="shared" si="30"/>
        <v>4.9585428968152536</v>
      </c>
      <c r="E33" s="40">
        <f t="shared" si="27"/>
        <v>0.73</v>
      </c>
      <c r="F33" s="34">
        <v>0.03</v>
      </c>
      <c r="G33" s="34">
        <f t="shared" si="41"/>
        <v>2.5000000000000001E-2</v>
      </c>
      <c r="H33" s="126">
        <f t="shared" ca="1" si="0"/>
        <v>0.64186194739671742</v>
      </c>
      <c r="I33" s="126">
        <f t="shared" ca="1" si="1"/>
        <v>90.176500000000033</v>
      </c>
      <c r="J33" s="129">
        <f t="shared" ca="1" si="2"/>
        <v>3.1826999999999992</v>
      </c>
      <c r="K33" s="1"/>
      <c r="L33" s="40">
        <f t="shared" si="31"/>
        <v>112.39363899447915</v>
      </c>
      <c r="M33" s="40">
        <f t="shared" si="32"/>
        <v>140.49204874309893</v>
      </c>
      <c r="N33" s="40">
        <f t="shared" si="33"/>
        <v>4.9585428968152536</v>
      </c>
      <c r="O33" s="40">
        <f t="shared" si="34"/>
        <v>0.73</v>
      </c>
      <c r="P33" s="34">
        <f t="shared" si="42"/>
        <v>3.5000000000000003E-2</v>
      </c>
      <c r="Q33" s="34">
        <f t="shared" si="17"/>
        <v>2.9750000000000002E-2</v>
      </c>
      <c r="R33" s="126">
        <f t="shared" ca="1" si="4"/>
        <v>0.59058345277144608</v>
      </c>
      <c r="S33" s="126">
        <f t="shared" ca="1" si="5"/>
        <v>82.972279233633671</v>
      </c>
      <c r="T33" s="129">
        <f t="shared" ca="1" si="6"/>
        <v>2.928433384716481</v>
      </c>
      <c r="U33" s="1"/>
      <c r="V33" s="40">
        <f t="shared" si="35"/>
        <v>168.04485830242515</v>
      </c>
      <c r="W33" s="40">
        <f t="shared" si="36"/>
        <v>210.05607287803147</v>
      </c>
      <c r="X33" s="40">
        <f t="shared" si="37"/>
        <v>7.4137437486363993</v>
      </c>
      <c r="Y33" s="40">
        <f t="shared" si="18"/>
        <v>0.73</v>
      </c>
      <c r="Z33" s="34">
        <v>2.5000000000000001E-2</v>
      </c>
      <c r="AA33" s="34">
        <f t="shared" si="19"/>
        <v>2.5000000000000001E-2</v>
      </c>
      <c r="AB33" s="126">
        <f t="shared" ca="1" si="7"/>
        <v>0.69046555683898636</v>
      </c>
      <c r="AC33" s="126">
        <f t="shared" ca="1" si="8"/>
        <v>145.0364833271407</v>
      </c>
      <c r="AD33" s="129">
        <f t="shared" ca="1" si="9"/>
        <v>5.1189347056637855</v>
      </c>
      <c r="AE33" s="1"/>
      <c r="AF33" s="40">
        <f t="shared" si="38"/>
        <v>92.459966990104093</v>
      </c>
      <c r="AG33" s="40">
        <f t="shared" si="39"/>
        <v>115.57495873763014</v>
      </c>
      <c r="AH33" s="40">
        <f t="shared" si="40"/>
        <v>4.0791161907398834</v>
      </c>
      <c r="AI33" s="40">
        <f t="shared" si="20"/>
        <v>0.73</v>
      </c>
      <c r="AJ33" s="34">
        <v>2.5000000000000001E-2</v>
      </c>
      <c r="AK33" s="34">
        <f t="shared" si="21"/>
        <v>2.5000000000000001E-2</v>
      </c>
      <c r="AL33" s="126">
        <f t="shared" ca="1" si="10"/>
        <v>0.69046555683898636</v>
      </c>
      <c r="AM33" s="126">
        <f t="shared" ca="1" si="11"/>
        <v>79.800528241420665</v>
      </c>
      <c r="AN33" s="129">
        <f t="shared" ca="1" si="12"/>
        <v>2.8164892320501385</v>
      </c>
      <c r="AO33" s="1"/>
      <c r="AP33" s="40">
        <f t="shared" si="28"/>
        <v>106.05679280404219</v>
      </c>
      <c r="AQ33" s="40">
        <f t="shared" si="25"/>
        <v>132.57099100505272</v>
      </c>
      <c r="AR33" s="40">
        <f t="shared" si="26"/>
        <v>4.2890614736928834</v>
      </c>
      <c r="AS33" s="40">
        <f t="shared" si="22"/>
        <v>0.73</v>
      </c>
      <c r="AT33" s="34">
        <v>2.5000000000000001E-2</v>
      </c>
      <c r="AU33" s="34">
        <f t="shared" si="23"/>
        <v>2.5000000000000001E-2</v>
      </c>
      <c r="AV33" s="126">
        <f t="shared" ca="1" si="13"/>
        <v>0.69046555683898636</v>
      </c>
      <c r="AW33" s="126">
        <f t="shared" ca="1" si="14"/>
        <v>91.535703124999984</v>
      </c>
      <c r="AX33" s="129">
        <f t="shared" ca="1" si="15"/>
        <v>2.9614492187500003</v>
      </c>
      <c r="AY33" s="1"/>
      <c r="AZ33" s="1"/>
      <c r="BA33" s="1"/>
      <c r="BB33" s="1"/>
      <c r="BC33" s="1"/>
      <c r="BD33" s="1"/>
      <c r="BE33" s="1"/>
      <c r="BF33" s="1"/>
      <c r="BG33" s="1"/>
      <c r="BH33" s="1"/>
      <c r="BI33" s="1"/>
    </row>
    <row r="34" spans="1:61">
      <c r="A34" s="108">
        <f t="shared" si="24"/>
        <v>2042</v>
      </c>
      <c r="B34" s="40">
        <f t="shared" si="16"/>
        <v>115.76544816431354</v>
      </c>
      <c r="C34" s="40">
        <f t="shared" si="29"/>
        <v>144.70681020539192</v>
      </c>
      <c r="D34" s="40">
        <f t="shared" si="30"/>
        <v>5.1072991837197117</v>
      </c>
      <c r="E34" s="40">
        <f t="shared" si="27"/>
        <v>0.73</v>
      </c>
      <c r="F34" s="34">
        <v>0.03</v>
      </c>
      <c r="G34" s="34">
        <f t="shared" si="41"/>
        <v>2.5000000000000001E-2</v>
      </c>
      <c r="H34" s="126">
        <f t="shared" ca="1" si="0"/>
        <v>0.62316693922011401</v>
      </c>
      <c r="I34" s="126">
        <f t="shared" ca="1" si="1"/>
        <v>90.176500000000033</v>
      </c>
      <c r="J34" s="129">
        <f t="shared" ca="1" si="2"/>
        <v>3.1826999999999996</v>
      </c>
      <c r="K34" s="1"/>
      <c r="L34" s="40">
        <f t="shared" si="31"/>
        <v>115.76544816431354</v>
      </c>
      <c r="M34" s="40">
        <f t="shared" si="32"/>
        <v>144.70681020539192</v>
      </c>
      <c r="N34" s="40">
        <f t="shared" si="33"/>
        <v>5.1072991837197117</v>
      </c>
      <c r="O34" s="40">
        <f t="shared" si="34"/>
        <v>0.73</v>
      </c>
      <c r="P34" s="34">
        <f t="shared" si="42"/>
        <v>3.5000000000000003E-2</v>
      </c>
      <c r="Q34" s="34">
        <f t="shared" si="17"/>
        <v>2.9750000000000002E-2</v>
      </c>
      <c r="R34" s="126">
        <f t="shared" ca="1" si="4"/>
        <v>0.57061203166323293</v>
      </c>
      <c r="S34" s="126">
        <f t="shared" ca="1" si="5"/>
        <v>82.57144696680453</v>
      </c>
      <c r="T34" s="129">
        <f t="shared" ca="1" si="6"/>
        <v>2.9142863635342757</v>
      </c>
      <c r="U34" s="1"/>
      <c r="V34" s="40">
        <f t="shared" si="35"/>
        <v>176.45801322133229</v>
      </c>
      <c r="W34" s="40">
        <f t="shared" si="36"/>
        <v>220.5725165266654</v>
      </c>
      <c r="X34" s="40">
        <f t="shared" si="37"/>
        <v>7.7849123479999491</v>
      </c>
      <c r="Y34" s="40">
        <f t="shared" si="18"/>
        <v>0.73</v>
      </c>
      <c r="Z34" s="34">
        <v>2.5000000000000001E-2</v>
      </c>
      <c r="AA34" s="34">
        <f t="shared" si="19"/>
        <v>2.5000000000000001E-2</v>
      </c>
      <c r="AB34" s="126">
        <f t="shared" ca="1" si="7"/>
        <v>0.67362493350145014</v>
      </c>
      <c r="AC34" s="126">
        <f t="shared" ca="1" si="8"/>
        <v>148.5831467775225</v>
      </c>
      <c r="AD34" s="129">
        <f t="shared" ca="1" si="9"/>
        <v>5.2441110627360841</v>
      </c>
      <c r="AE34" s="1"/>
      <c r="AF34" s="40">
        <f t="shared" si="38"/>
        <v>94.444876655086929</v>
      </c>
      <c r="AG34" s="40">
        <f t="shared" si="39"/>
        <v>118.05609581885867</v>
      </c>
      <c r="AH34" s="40">
        <f t="shared" si="40"/>
        <v>4.1666857347832433</v>
      </c>
      <c r="AI34" s="40">
        <f t="shared" si="20"/>
        <v>0.73</v>
      </c>
      <c r="AJ34" s="34">
        <v>2.5000000000000001E-2</v>
      </c>
      <c r="AK34" s="34">
        <f t="shared" si="21"/>
        <v>2.5000000000000001E-2</v>
      </c>
      <c r="AL34" s="126">
        <f t="shared" ca="1" si="10"/>
        <v>0.67362493350145014</v>
      </c>
      <c r="AM34" s="126">
        <f t="shared" ca="1" si="11"/>
        <v>79.525529695419493</v>
      </c>
      <c r="AN34" s="129">
        <f t="shared" ca="1" si="12"/>
        <v>2.8067834010148034</v>
      </c>
      <c r="AO34" s="1"/>
      <c r="AP34" s="40">
        <f t="shared" si="28"/>
        <v>108.70821262414323</v>
      </c>
      <c r="AQ34" s="40">
        <f t="shared" si="25"/>
        <v>135.88526578017903</v>
      </c>
      <c r="AR34" s="40">
        <f t="shared" si="26"/>
        <v>4.3962880105352049</v>
      </c>
      <c r="AS34" s="40">
        <f t="shared" si="22"/>
        <v>0.73</v>
      </c>
      <c r="AT34" s="34">
        <v>2.5000000000000001E-2</v>
      </c>
      <c r="AU34" s="34">
        <f t="shared" si="23"/>
        <v>2.5000000000000001E-2</v>
      </c>
      <c r="AV34" s="126">
        <f t="shared" ca="1" si="13"/>
        <v>0.67362493350145014</v>
      </c>
      <c r="AW34" s="126">
        <f t="shared" ca="1" si="14"/>
        <v>91.535703124999969</v>
      </c>
      <c r="AX34" s="129">
        <f t="shared" ca="1" si="15"/>
        <v>2.9614492187499999</v>
      </c>
      <c r="AY34" s="1"/>
      <c r="AZ34" s="1"/>
      <c r="BA34" s="1"/>
      <c r="BB34" s="1"/>
      <c r="BC34" s="1"/>
      <c r="BD34" s="1"/>
      <c r="BE34" s="1"/>
      <c r="BF34" s="1"/>
      <c r="BG34" s="1"/>
      <c r="BH34" s="1"/>
      <c r="BI34" s="1"/>
    </row>
    <row r="35" spans="1:61">
      <c r="A35" s="108">
        <f t="shared" si="24"/>
        <v>2043</v>
      </c>
      <c r="B35" s="40">
        <f t="shared" si="16"/>
        <v>119.23841160924295</v>
      </c>
      <c r="C35" s="40">
        <f t="shared" si="29"/>
        <v>149.04801451155367</v>
      </c>
      <c r="D35" s="40">
        <f t="shared" si="30"/>
        <v>5.2605181592313031</v>
      </c>
      <c r="E35" s="40">
        <f t="shared" si="27"/>
        <v>0.73</v>
      </c>
      <c r="F35" s="34">
        <v>0.03</v>
      </c>
      <c r="G35" s="34">
        <f t="shared" si="41"/>
        <v>2.5000000000000001E-2</v>
      </c>
      <c r="H35" s="126">
        <f t="shared" ca="1" si="0"/>
        <v>0.60501644584477088</v>
      </c>
      <c r="I35" s="126">
        <f t="shared" ca="1" si="1"/>
        <v>90.176500000000033</v>
      </c>
      <c r="J35" s="129">
        <f t="shared" ca="1" si="2"/>
        <v>3.1826999999999996</v>
      </c>
      <c r="K35" s="1"/>
      <c r="L35" s="40">
        <f t="shared" si="31"/>
        <v>119.23841160924295</v>
      </c>
      <c r="M35" s="40">
        <f t="shared" si="32"/>
        <v>149.04801451155367</v>
      </c>
      <c r="N35" s="40">
        <f t="shared" si="33"/>
        <v>5.2605181592313031</v>
      </c>
      <c r="O35" s="40">
        <f t="shared" si="34"/>
        <v>0.73</v>
      </c>
      <c r="P35" s="34">
        <f t="shared" si="42"/>
        <v>3.5000000000000003E-2</v>
      </c>
      <c r="Q35" s="34">
        <f t="shared" si="17"/>
        <v>2.9750000000000002E-2</v>
      </c>
      <c r="R35" s="126">
        <f t="shared" ca="1" si="4"/>
        <v>0.55131597262148113</v>
      </c>
      <c r="S35" s="126">
        <f t="shared" ca="1" si="5"/>
        <v>82.172551087737844</v>
      </c>
      <c r="T35" s="129">
        <f t="shared" ca="1" si="6"/>
        <v>2.9002076854495695</v>
      </c>
      <c r="U35" s="1"/>
      <c r="V35" s="40">
        <f t="shared" si="35"/>
        <v>185.22471706290168</v>
      </c>
      <c r="W35" s="40">
        <f t="shared" si="36"/>
        <v>231.53089632862711</v>
      </c>
      <c r="X35" s="40">
        <f t="shared" si="37"/>
        <v>8.171678693951538</v>
      </c>
      <c r="Y35" s="40">
        <f t="shared" si="18"/>
        <v>0.73</v>
      </c>
      <c r="Z35" s="34">
        <v>2.5000000000000001E-2</v>
      </c>
      <c r="AA35" s="34">
        <f t="shared" si="19"/>
        <v>2.5000000000000001E-2</v>
      </c>
      <c r="AB35" s="126">
        <f t="shared" ca="1" si="7"/>
        <v>0.65719505707458559</v>
      </c>
      <c r="AC35" s="126">
        <f t="shared" ca="1" si="8"/>
        <v>152.16096062722204</v>
      </c>
      <c r="AD35" s="129">
        <f t="shared" ca="1" si="9"/>
        <v>5.3703868456666557</v>
      </c>
      <c r="AE35" s="1"/>
      <c r="AF35" s="40">
        <f t="shared" si="38"/>
        <v>96.501166950190026</v>
      </c>
      <c r="AG35" s="40">
        <f t="shared" si="39"/>
        <v>120.62645868773754</v>
      </c>
      <c r="AH35" s="40">
        <f t="shared" si="40"/>
        <v>4.2574044242730862</v>
      </c>
      <c r="AI35" s="40">
        <f t="shared" si="20"/>
        <v>0.73</v>
      </c>
      <c r="AJ35" s="34">
        <v>2.5000000000000001E-2</v>
      </c>
      <c r="AK35" s="34">
        <f t="shared" si="21"/>
        <v>2.5000000000000001E-2</v>
      </c>
      <c r="AL35" s="126">
        <f t="shared" ca="1" si="10"/>
        <v>0.65719505707458559</v>
      </c>
      <c r="AM35" s="126">
        <f t="shared" ca="1" si="11"/>
        <v>79.275112401992814</v>
      </c>
      <c r="AN35" s="129">
        <f t="shared" ca="1" si="12"/>
        <v>2.797945143599744</v>
      </c>
      <c r="AO35" s="1"/>
      <c r="AP35" s="40">
        <f t="shared" si="28"/>
        <v>111.4259179397468</v>
      </c>
      <c r="AQ35" s="40">
        <f t="shared" si="25"/>
        <v>139.2823974246835</v>
      </c>
      <c r="AR35" s="40">
        <f t="shared" si="26"/>
        <v>4.5061952107985848</v>
      </c>
      <c r="AS35" s="40">
        <f t="shared" si="22"/>
        <v>0.73</v>
      </c>
      <c r="AT35" s="34">
        <v>2.5000000000000001E-2</v>
      </c>
      <c r="AU35" s="34">
        <f t="shared" si="23"/>
        <v>2.5000000000000001E-2</v>
      </c>
      <c r="AV35" s="126">
        <f t="shared" ca="1" si="13"/>
        <v>0.65719505707458559</v>
      </c>
      <c r="AW35" s="126">
        <f t="shared" ca="1" si="14"/>
        <v>91.535703124999984</v>
      </c>
      <c r="AX35" s="129">
        <f t="shared" ca="1" si="15"/>
        <v>2.9614492187500003</v>
      </c>
      <c r="AY35" s="1"/>
      <c r="AZ35" s="1"/>
      <c r="BA35" s="1"/>
      <c r="BB35" s="1"/>
      <c r="BC35" s="1"/>
      <c r="BD35" s="1"/>
      <c r="BE35" s="1"/>
      <c r="BF35" s="1"/>
      <c r="BG35" s="1"/>
      <c r="BH35" s="1"/>
      <c r="BI35" s="1"/>
    </row>
    <row r="36" spans="1:61">
      <c r="A36" s="108">
        <f t="shared" si="24"/>
        <v>2044</v>
      </c>
      <c r="B36" s="40">
        <f t="shared" si="16"/>
        <v>122.81556395752023</v>
      </c>
      <c r="C36" s="40">
        <f t="shared" si="29"/>
        <v>153.51945494690028</v>
      </c>
      <c r="D36" s="40">
        <f t="shared" si="30"/>
        <v>5.4183337040082424</v>
      </c>
      <c r="E36" s="40">
        <f t="shared" si="27"/>
        <v>0.73</v>
      </c>
      <c r="F36" s="34">
        <v>0.03</v>
      </c>
      <c r="G36" s="34">
        <f t="shared" si="41"/>
        <v>2.5000000000000001E-2</v>
      </c>
      <c r="H36" s="126">
        <f t="shared" ca="1" si="0"/>
        <v>0.58739460761628237</v>
      </c>
      <c r="I36" s="126">
        <f t="shared" ca="1" si="1"/>
        <v>90.176500000000033</v>
      </c>
      <c r="J36" s="129">
        <f t="shared" ca="1" si="2"/>
        <v>3.1826999999999996</v>
      </c>
      <c r="K36" s="1"/>
      <c r="L36" s="40">
        <f t="shared" si="31"/>
        <v>122.81556395752023</v>
      </c>
      <c r="M36" s="40">
        <f t="shared" si="32"/>
        <v>153.51945494690028</v>
      </c>
      <c r="N36" s="40">
        <f t="shared" si="33"/>
        <v>5.4183337040082424</v>
      </c>
      <c r="O36" s="40">
        <f t="shared" si="34"/>
        <v>0.73</v>
      </c>
      <c r="P36" s="34">
        <f t="shared" si="42"/>
        <v>3.5000000000000003E-2</v>
      </c>
      <c r="Q36" s="34">
        <f t="shared" si="17"/>
        <v>2.9750000000000002E-2</v>
      </c>
      <c r="R36" s="126">
        <f t="shared" ca="1" si="4"/>
        <v>0.53267243731544078</v>
      </c>
      <c r="S36" s="126">
        <f t="shared" ca="1" si="5"/>
        <v>81.775582241903379</v>
      </c>
      <c r="T36" s="129">
        <f t="shared" ca="1" si="6"/>
        <v>2.8861970203024705</v>
      </c>
      <c r="U36" s="1"/>
      <c r="V36" s="40">
        <f t="shared" si="35"/>
        <v>194.35861092306601</v>
      </c>
      <c r="W36" s="40">
        <f t="shared" si="36"/>
        <v>242.94826365383253</v>
      </c>
      <c r="X36" s="40">
        <f t="shared" si="37"/>
        <v>8.5746445995470246</v>
      </c>
      <c r="Y36" s="40">
        <f t="shared" si="18"/>
        <v>0.73</v>
      </c>
      <c r="Z36" s="34">
        <v>2.5000000000000001E-2</v>
      </c>
      <c r="AA36" s="34">
        <f t="shared" si="19"/>
        <v>2.5000000000000001E-2</v>
      </c>
      <c r="AB36" s="126">
        <f t="shared" ca="1" si="7"/>
        <v>0.64116590934105921</v>
      </c>
      <c r="AC36" s="126">
        <f t="shared" ca="1" si="8"/>
        <v>155.77014438844094</v>
      </c>
      <c r="AD36" s="129">
        <f t="shared" ca="1" si="9"/>
        <v>5.4977698019449708</v>
      </c>
      <c r="AE36" s="1"/>
      <c r="AF36" s="40">
        <f t="shared" si="38"/>
        <v>98.630801794214449</v>
      </c>
      <c r="AG36" s="40">
        <f t="shared" si="39"/>
        <v>123.28850224276809</v>
      </c>
      <c r="AH36" s="40">
        <f t="shared" si="40"/>
        <v>4.351358902685929</v>
      </c>
      <c r="AI36" s="40">
        <f t="shared" si="20"/>
        <v>0.73</v>
      </c>
      <c r="AJ36" s="34">
        <v>2.5000000000000001E-2</v>
      </c>
      <c r="AK36" s="34">
        <f t="shared" si="21"/>
        <v>2.5000000000000001E-2</v>
      </c>
      <c r="AL36" s="126">
        <f t="shared" ca="1" si="10"/>
        <v>0.64116590934105921</v>
      </c>
      <c r="AM36" s="126">
        <f t="shared" ca="1" si="11"/>
        <v>79.048384651781618</v>
      </c>
      <c r="AN36" s="129">
        <f t="shared" ca="1" si="12"/>
        <v>2.7899429877099373</v>
      </c>
      <c r="AO36" s="1"/>
      <c r="AP36" s="40">
        <f t="shared" si="28"/>
        <v>114.21156588824046</v>
      </c>
      <c r="AQ36" s="40">
        <f t="shared" si="25"/>
        <v>142.76445736030058</v>
      </c>
      <c r="AR36" s="40">
        <f t="shared" si="26"/>
        <v>4.6188500910685493</v>
      </c>
      <c r="AS36" s="40">
        <f t="shared" si="22"/>
        <v>0.73</v>
      </c>
      <c r="AT36" s="34">
        <v>2.5000000000000001E-2</v>
      </c>
      <c r="AU36" s="34">
        <f t="shared" si="23"/>
        <v>2.5000000000000001E-2</v>
      </c>
      <c r="AV36" s="126">
        <f t="shared" ca="1" si="13"/>
        <v>0.64116590934105921</v>
      </c>
      <c r="AW36" s="126">
        <f t="shared" ca="1" si="14"/>
        <v>91.535703124999998</v>
      </c>
      <c r="AX36" s="129">
        <f t="shared" ca="1" si="15"/>
        <v>2.9614492187500008</v>
      </c>
      <c r="AY36" s="1"/>
      <c r="AZ36" s="1"/>
      <c r="BA36" s="1"/>
      <c r="BB36" s="1"/>
      <c r="BC36" s="1"/>
      <c r="BD36" s="1"/>
      <c r="BE36" s="1"/>
      <c r="BF36" s="1"/>
      <c r="BG36" s="1"/>
      <c r="BH36" s="1"/>
      <c r="BI36" s="1"/>
    </row>
    <row r="37" spans="1:61">
      <c r="A37" s="108">
        <f t="shared" si="24"/>
        <v>2045</v>
      </c>
      <c r="B37" s="40">
        <f t="shared" si="16"/>
        <v>126.50003087624584</v>
      </c>
      <c r="C37" s="40">
        <f t="shared" si="29"/>
        <v>158.1250385953073</v>
      </c>
      <c r="D37" s="40">
        <f t="shared" si="30"/>
        <v>5.5808837151284898</v>
      </c>
      <c r="E37" s="40">
        <f t="shared" si="27"/>
        <v>0.73</v>
      </c>
      <c r="F37" s="34">
        <v>0.03</v>
      </c>
      <c r="G37" s="34">
        <f t="shared" si="41"/>
        <v>2.5000000000000001E-2</v>
      </c>
      <c r="H37" s="126">
        <f t="shared" ca="1" si="0"/>
        <v>0.57028602681192464</v>
      </c>
      <c r="I37" s="126">
        <f t="shared" ca="1" si="1"/>
        <v>90.176500000000033</v>
      </c>
      <c r="J37" s="129">
        <f t="shared" ca="1" si="2"/>
        <v>3.1826999999999996</v>
      </c>
      <c r="K37" s="1"/>
      <c r="L37" s="40">
        <f t="shared" si="31"/>
        <v>126.50003087624584</v>
      </c>
      <c r="M37" s="40">
        <f t="shared" si="32"/>
        <v>158.1250385953073</v>
      </c>
      <c r="N37" s="40">
        <f t="shared" si="33"/>
        <v>5.5808837151284898</v>
      </c>
      <c r="O37" s="40">
        <f t="shared" si="34"/>
        <v>0.73</v>
      </c>
      <c r="P37" s="34">
        <f t="shared" si="42"/>
        <v>3.5000000000000003E-2</v>
      </c>
      <c r="Q37" s="34">
        <f t="shared" si="17"/>
        <v>2.9750000000000002E-2</v>
      </c>
      <c r="R37" s="126">
        <f t="shared" ca="1" si="4"/>
        <v>0.5146593597250636</v>
      </c>
      <c r="S37" s="126">
        <f t="shared" ca="1" si="5"/>
        <v>81.38053111996183</v>
      </c>
      <c r="T37" s="129">
        <f t="shared" ca="1" si="6"/>
        <v>2.8722540395280629</v>
      </c>
      <c r="U37" s="1"/>
      <c r="V37" s="40">
        <f t="shared" si="35"/>
        <v>203.87383616948364</v>
      </c>
      <c r="W37" s="40">
        <f t="shared" si="36"/>
        <v>254.84229521185452</v>
      </c>
      <c r="X37" s="40">
        <f t="shared" si="37"/>
        <v>8.9944339486536826</v>
      </c>
      <c r="Y37" s="40">
        <f t="shared" si="18"/>
        <v>0.73</v>
      </c>
      <c r="Z37" s="34">
        <v>2.5000000000000001E-2</v>
      </c>
      <c r="AA37" s="34">
        <f t="shared" si="19"/>
        <v>2.5000000000000001E-2</v>
      </c>
      <c r="AB37" s="126">
        <f t="shared" ca="1" si="7"/>
        <v>0.62552771643030169</v>
      </c>
      <c r="AC37" s="126">
        <f t="shared" ca="1" si="8"/>
        <v>159.41091897372817</v>
      </c>
      <c r="AD37" s="129">
        <f t="shared" ca="1" si="9"/>
        <v>5.6262677284845193</v>
      </c>
      <c r="AE37" s="1"/>
      <c r="AF37" s="40">
        <f t="shared" si="38"/>
        <v>100.83580668602686</v>
      </c>
      <c r="AG37" s="40">
        <f t="shared" si="39"/>
        <v>126.04475835753358</v>
      </c>
      <c r="AH37" s="40">
        <f t="shared" si="40"/>
        <v>4.4486385302658871</v>
      </c>
      <c r="AI37" s="40">
        <f t="shared" si="20"/>
        <v>0.73</v>
      </c>
      <c r="AJ37" s="34">
        <v>2.5000000000000001E-2</v>
      </c>
      <c r="AK37" s="34">
        <f t="shared" si="21"/>
        <v>2.5000000000000001E-2</v>
      </c>
      <c r="AL37" s="126">
        <f t="shared" ca="1" si="10"/>
        <v>0.62552771643030169</v>
      </c>
      <c r="AM37" s="126">
        <f t="shared" ca="1" si="11"/>
        <v>78.844489863397172</v>
      </c>
      <c r="AN37" s="129">
        <f t="shared" ca="1" si="12"/>
        <v>2.782746701061074</v>
      </c>
      <c r="AO37" s="1"/>
      <c r="AP37" s="40">
        <f t="shared" si="28"/>
        <v>117.06685503544647</v>
      </c>
      <c r="AQ37" s="40">
        <f t="shared" si="25"/>
        <v>146.33356879430809</v>
      </c>
      <c r="AR37" s="40">
        <f t="shared" si="26"/>
        <v>4.7343213433452629</v>
      </c>
      <c r="AS37" s="40">
        <f t="shared" si="22"/>
        <v>0.73</v>
      </c>
      <c r="AT37" s="34">
        <v>2.5000000000000001E-2</v>
      </c>
      <c r="AU37" s="34">
        <f t="shared" si="23"/>
        <v>2.5000000000000001E-2</v>
      </c>
      <c r="AV37" s="126">
        <f t="shared" ca="1" si="13"/>
        <v>0.62552771643030169</v>
      </c>
      <c r="AW37" s="126">
        <f t="shared" ca="1" si="14"/>
        <v>91.535703124999998</v>
      </c>
      <c r="AX37" s="129">
        <f t="shared" ca="1" si="15"/>
        <v>2.9614492187500008</v>
      </c>
      <c r="AY37" s="1"/>
      <c r="AZ37" s="1"/>
      <c r="BA37" s="1"/>
      <c r="BB37" s="1"/>
      <c r="BC37" s="1"/>
      <c r="BD37" s="1"/>
      <c r="BE37" s="1"/>
      <c r="BF37" s="1"/>
      <c r="BG37" s="1"/>
      <c r="BH37" s="1"/>
      <c r="BI37" s="1"/>
    </row>
    <row r="38" spans="1:61">
      <c r="A38" s="108">
        <f t="shared" si="24"/>
        <v>2046</v>
      </c>
      <c r="B38" s="40">
        <f t="shared" si="16"/>
        <v>130.29503180253323</v>
      </c>
      <c r="C38" s="40">
        <f t="shared" si="29"/>
        <v>162.86878975316654</v>
      </c>
      <c r="D38" s="40">
        <f t="shared" si="30"/>
        <v>5.7483102265823449</v>
      </c>
      <c r="E38" s="40">
        <f t="shared" si="27"/>
        <v>0.73</v>
      </c>
      <c r="F38" s="34">
        <v>0.03</v>
      </c>
      <c r="G38" s="34">
        <f t="shared" si="41"/>
        <v>2.5000000000000001E-2</v>
      </c>
      <c r="H38" s="126">
        <f t="shared" ca="1" si="0"/>
        <v>0.55367575418633463</v>
      </c>
      <c r="I38" s="126">
        <f t="shared" ca="1" si="1"/>
        <v>90.176500000000047</v>
      </c>
      <c r="J38" s="129">
        <f t="shared" ca="1" si="2"/>
        <v>3.1827000000000001</v>
      </c>
      <c r="K38" s="1"/>
      <c r="L38" s="40">
        <f t="shared" si="31"/>
        <v>130.29503180253323</v>
      </c>
      <c r="M38" s="40">
        <f t="shared" si="32"/>
        <v>162.86878975316654</v>
      </c>
      <c r="N38" s="40">
        <f t="shared" si="33"/>
        <v>5.7483102265823449</v>
      </c>
      <c r="O38" s="40">
        <f t="shared" si="34"/>
        <v>0.73</v>
      </c>
      <c r="P38" s="34">
        <f t="shared" si="42"/>
        <v>3.5000000000000003E-2</v>
      </c>
      <c r="Q38" s="34">
        <f t="shared" si="17"/>
        <v>2.9750000000000002E-2</v>
      </c>
      <c r="R38" s="126">
        <f t="shared" ca="1" si="4"/>
        <v>0.49725542002421608</v>
      </c>
      <c r="S38" s="126">
        <f t="shared" ca="1" si="5"/>
        <v>80.987388457546572</v>
      </c>
      <c r="T38" s="129">
        <f t="shared" ca="1" si="6"/>
        <v>2.8583784161487005</v>
      </c>
      <c r="U38" s="1"/>
      <c r="V38" s="40">
        <f t="shared" si="35"/>
        <v>213.78505218085553</v>
      </c>
      <c r="W38" s="40">
        <f t="shared" si="36"/>
        <v>267.23131522606946</v>
      </c>
      <c r="X38" s="40">
        <f t="shared" si="37"/>
        <v>9.4316934785671478</v>
      </c>
      <c r="Y38" s="40">
        <f t="shared" si="18"/>
        <v>0.73</v>
      </c>
      <c r="Z38" s="34">
        <v>2.5000000000000001E-2</v>
      </c>
      <c r="AA38" s="34">
        <f t="shared" si="19"/>
        <v>2.5000000000000001E-2</v>
      </c>
      <c r="AB38" s="126">
        <f t="shared" ca="1" si="7"/>
        <v>0.61027094285883099</v>
      </c>
      <c r="AC38" s="126">
        <f t="shared" ca="1" si="8"/>
        <v>163.08350670441888</v>
      </c>
      <c r="AD38" s="129">
        <f t="shared" ca="1" si="9"/>
        <v>5.7558884719206604</v>
      </c>
      <c r="AE38" s="1"/>
      <c r="AF38" s="40">
        <f t="shared" si="38"/>
        <v>103.11827051202384</v>
      </c>
      <c r="AG38" s="40">
        <f t="shared" si="39"/>
        <v>128.89783814002982</v>
      </c>
      <c r="AH38" s="40">
        <f t="shared" si="40"/>
        <v>4.5493354637657539</v>
      </c>
      <c r="AI38" s="40">
        <f t="shared" si="20"/>
        <v>0.73</v>
      </c>
      <c r="AJ38" s="34">
        <v>2.5000000000000001E-2</v>
      </c>
      <c r="AK38" s="34">
        <f t="shared" si="21"/>
        <v>2.5000000000000001E-2</v>
      </c>
      <c r="AL38" s="126">
        <f t="shared" ca="1" si="10"/>
        <v>0.61027094285883099</v>
      </c>
      <c r="AM38" s="126">
        <f t="shared" ca="1" si="11"/>
        <v>78.662605214180985</v>
      </c>
      <c r="AN38" s="129">
        <f t="shared" ca="1" si="12"/>
        <v>2.7763272428534438</v>
      </c>
      <c r="AO38" s="1"/>
      <c r="AP38" s="40">
        <f t="shared" si="28"/>
        <v>119.99352641133261</v>
      </c>
      <c r="AQ38" s="40">
        <f t="shared" si="25"/>
        <v>149.99190801416577</v>
      </c>
      <c r="AR38" s="40">
        <f t="shared" si="26"/>
        <v>4.8526793769288936</v>
      </c>
      <c r="AS38" s="40">
        <f t="shared" si="22"/>
        <v>0.73</v>
      </c>
      <c r="AT38" s="34">
        <v>2.5000000000000001E-2</v>
      </c>
      <c r="AU38" s="34">
        <f t="shared" si="23"/>
        <v>2.5000000000000001E-2</v>
      </c>
      <c r="AV38" s="126">
        <f t="shared" ca="1" si="13"/>
        <v>0.61027094285883099</v>
      </c>
      <c r="AW38" s="126">
        <f t="shared" ca="1" si="14"/>
        <v>91.535703124999998</v>
      </c>
      <c r="AX38" s="129">
        <f t="shared" ca="1" si="15"/>
        <v>2.9614492187500003</v>
      </c>
      <c r="AY38" s="1"/>
      <c r="AZ38" s="1"/>
      <c r="BA38" s="1"/>
      <c r="BB38" s="1"/>
      <c r="BC38" s="1"/>
      <c r="BD38" s="1"/>
      <c r="BE38" s="1"/>
      <c r="BF38" s="1"/>
      <c r="BG38" s="1"/>
      <c r="BH38" s="1"/>
      <c r="BI38" s="1"/>
    </row>
    <row r="39" spans="1:61">
      <c r="A39" s="108">
        <f t="shared" si="24"/>
        <v>2047</v>
      </c>
      <c r="B39" s="40">
        <f t="shared" si="16"/>
        <v>134.20388275660923</v>
      </c>
      <c r="C39" s="40">
        <f t="shared" si="29"/>
        <v>167.75485344576154</v>
      </c>
      <c r="D39" s="40">
        <f t="shared" si="30"/>
        <v>5.9207595333798153</v>
      </c>
      <c r="E39" s="40">
        <f t="shared" si="27"/>
        <v>0.73</v>
      </c>
      <c r="F39" s="34">
        <v>0.03</v>
      </c>
      <c r="G39" s="34">
        <f t="shared" si="41"/>
        <v>2.5000000000000001E-2</v>
      </c>
      <c r="H39" s="126">
        <f t="shared" ca="1" si="0"/>
        <v>0.53754927590906276</v>
      </c>
      <c r="I39" s="126">
        <f t="shared" ca="1" si="1"/>
        <v>90.176500000000061</v>
      </c>
      <c r="J39" s="129">
        <f t="shared" ca="1" si="2"/>
        <v>3.1827000000000001</v>
      </c>
      <c r="K39" s="1"/>
      <c r="L39" s="40">
        <f t="shared" si="31"/>
        <v>134.20388275660923</v>
      </c>
      <c r="M39" s="40">
        <f t="shared" si="32"/>
        <v>167.75485344576154</v>
      </c>
      <c r="N39" s="40">
        <f t="shared" si="33"/>
        <v>5.9207595333798153</v>
      </c>
      <c r="O39" s="40">
        <f t="shared" si="34"/>
        <v>0.73</v>
      </c>
      <c r="P39" s="34">
        <f t="shared" si="42"/>
        <v>3.5000000000000003E-2</v>
      </c>
      <c r="Q39" s="34">
        <f t="shared" si="17"/>
        <v>2.9750000000000002E-2</v>
      </c>
      <c r="R39" s="126">
        <f t="shared" ca="1" si="4"/>
        <v>0.4804400193470687</v>
      </c>
      <c r="S39" s="126">
        <f t="shared" ca="1" si="5"/>
        <v>80.596145035046348</v>
      </c>
      <c r="T39" s="129">
        <f t="shared" ca="1" si="6"/>
        <v>2.84456982476634</v>
      </c>
      <c r="U39" s="1"/>
      <c r="V39" s="40">
        <f t="shared" si="35"/>
        <v>224.10745470035721</v>
      </c>
      <c r="W39" s="40">
        <f t="shared" si="36"/>
        <v>280.13431837544658</v>
      </c>
      <c r="X39" s="40">
        <f t="shared" si="37"/>
        <v>9.8870935897216334</v>
      </c>
      <c r="Y39" s="40">
        <f t="shared" si="18"/>
        <v>0.73</v>
      </c>
      <c r="Z39" s="34">
        <v>2.5000000000000001E-2</v>
      </c>
      <c r="AA39" s="34">
        <f t="shared" si="19"/>
        <v>2.5000000000000001E-2</v>
      </c>
      <c r="AB39" s="126">
        <f t="shared" ca="1" si="7"/>
        <v>0.59538628571593277</v>
      </c>
      <c r="AC39" s="126">
        <f t="shared" ca="1" si="8"/>
        <v>166.7881313191217</v>
      </c>
      <c r="AD39" s="129">
        <f t="shared" ca="1" si="9"/>
        <v>5.8866399289101716</v>
      </c>
      <c r="AE39" s="1"/>
      <c r="AF39" s="40">
        <f t="shared" si="38"/>
        <v>105.48034740841949</v>
      </c>
      <c r="AG39" s="40">
        <f t="shared" si="39"/>
        <v>131.85043426052437</v>
      </c>
      <c r="AH39" s="40">
        <f t="shared" si="40"/>
        <v>4.6535447386067377</v>
      </c>
      <c r="AI39" s="40">
        <f t="shared" si="20"/>
        <v>0.73</v>
      </c>
      <c r="AJ39" s="34">
        <v>2.5000000000000001E-2</v>
      </c>
      <c r="AK39" s="34">
        <f t="shared" si="21"/>
        <v>2.5000000000000001E-2</v>
      </c>
      <c r="AL39" s="126">
        <f t="shared" ca="1" si="10"/>
        <v>0.59538628571593277</v>
      </c>
      <c r="AM39" s="126">
        <f t="shared" ca="1" si="11"/>
        <v>78.501940324406377</v>
      </c>
      <c r="AN39" s="129">
        <f t="shared" ca="1" si="12"/>
        <v>2.7706567173319869</v>
      </c>
      <c r="AO39" s="1"/>
      <c r="AP39" s="40">
        <f t="shared" si="28"/>
        <v>122.99336457161591</v>
      </c>
      <c r="AQ39" s="40">
        <f t="shared" si="25"/>
        <v>153.7417057145199</v>
      </c>
      <c r="AR39" s="40">
        <f t="shared" si="26"/>
        <v>4.9739963613521159</v>
      </c>
      <c r="AS39" s="40">
        <f t="shared" si="22"/>
        <v>0.73</v>
      </c>
      <c r="AT39" s="34">
        <v>2.5000000000000001E-2</v>
      </c>
      <c r="AU39" s="34">
        <f t="shared" si="23"/>
        <v>2.5000000000000001E-2</v>
      </c>
      <c r="AV39" s="126">
        <f t="shared" ca="1" si="13"/>
        <v>0.59538628571593277</v>
      </c>
      <c r="AW39" s="126">
        <f t="shared" ca="1" si="14"/>
        <v>91.535703124999998</v>
      </c>
      <c r="AX39" s="129">
        <f t="shared" ca="1" si="15"/>
        <v>2.9614492187500008</v>
      </c>
      <c r="AY39" s="1"/>
      <c r="AZ39" s="1"/>
      <c r="BA39" s="1"/>
      <c r="BB39" s="1"/>
      <c r="BC39" s="1"/>
      <c r="BD39" s="1"/>
      <c r="BE39" s="1"/>
      <c r="BF39" s="1"/>
      <c r="BG39" s="1"/>
      <c r="BH39" s="1"/>
      <c r="BI39" s="1"/>
    </row>
    <row r="40" spans="1:61">
      <c r="A40" s="108">
        <f t="shared" si="24"/>
        <v>2048</v>
      </c>
      <c r="B40" s="40">
        <f t="shared" si="16"/>
        <v>138.22999923930752</v>
      </c>
      <c r="C40" s="40">
        <f t="shared" si="29"/>
        <v>172.7874990491344</v>
      </c>
      <c r="D40" s="40">
        <f t="shared" si="30"/>
        <v>6.0983823193812103</v>
      </c>
      <c r="E40" s="40">
        <f t="shared" si="27"/>
        <v>0.73</v>
      </c>
      <c r="F40" s="34">
        <v>0.03</v>
      </c>
      <c r="G40" s="34">
        <f t="shared" si="41"/>
        <v>2.5000000000000001E-2</v>
      </c>
      <c r="H40" s="126">
        <f t="shared" ca="1" si="0"/>
        <v>0.52189250088258521</v>
      </c>
      <c r="I40" s="126">
        <f t="shared" ca="1" si="1"/>
        <v>90.176500000000061</v>
      </c>
      <c r="J40" s="129">
        <f t="shared" ca="1" si="2"/>
        <v>3.1827000000000005</v>
      </c>
      <c r="K40" s="1"/>
      <c r="L40" s="40">
        <f t="shared" si="31"/>
        <v>138.22999923930752</v>
      </c>
      <c r="M40" s="40">
        <f t="shared" si="32"/>
        <v>172.7874990491344</v>
      </c>
      <c r="N40" s="40">
        <f t="shared" si="33"/>
        <v>6.0983823193812103</v>
      </c>
      <c r="O40" s="40">
        <f t="shared" si="34"/>
        <v>0.73</v>
      </c>
      <c r="P40" s="34">
        <f t="shared" si="42"/>
        <v>3.5000000000000003E-2</v>
      </c>
      <c r="Q40" s="34">
        <f t="shared" si="17"/>
        <v>2.9750000000000002E-2</v>
      </c>
      <c r="R40" s="126">
        <f t="shared" ca="1" si="4"/>
        <v>0.46419325540779588</v>
      </c>
      <c r="S40" s="126">
        <f t="shared" ca="1" si="5"/>
        <v>80.206791677389134</v>
      </c>
      <c r="T40" s="129">
        <f t="shared" ca="1" si="6"/>
        <v>2.8308279415549089</v>
      </c>
      <c r="U40" s="1"/>
      <c r="V40" s="40">
        <f t="shared" si="35"/>
        <v>234.85679482406621</v>
      </c>
      <c r="W40" s="40">
        <f t="shared" si="36"/>
        <v>293.57099353008289</v>
      </c>
      <c r="X40" s="40">
        <f t="shared" si="37"/>
        <v>10.361329183414679</v>
      </c>
      <c r="Y40" s="40">
        <f t="shared" si="18"/>
        <v>0.73</v>
      </c>
      <c r="Z40" s="34">
        <v>2.5000000000000001E-2</v>
      </c>
      <c r="AA40" s="34">
        <f t="shared" si="19"/>
        <v>2.5000000000000001E-2</v>
      </c>
      <c r="AB40" s="126">
        <f t="shared" ca="1" si="7"/>
        <v>0.58086466899115397</v>
      </c>
      <c r="AC40" s="126">
        <f t="shared" ca="1" si="8"/>
        <v>170.5250179822558</v>
      </c>
      <c r="AD40" s="129">
        <f t="shared" ca="1" si="9"/>
        <v>6.0185300464325513</v>
      </c>
      <c r="AE40" s="1"/>
      <c r="AF40" s="40">
        <f t="shared" si="38"/>
        <v>107.92425867999148</v>
      </c>
      <c r="AG40" s="40">
        <f t="shared" si="39"/>
        <v>134.90532334998935</v>
      </c>
      <c r="AH40" s="40">
        <f t="shared" si="40"/>
        <v>4.7613643535290313</v>
      </c>
      <c r="AI40" s="40">
        <f t="shared" si="20"/>
        <v>0.73</v>
      </c>
      <c r="AJ40" s="34">
        <v>2.5000000000000001E-2</v>
      </c>
      <c r="AK40" s="34">
        <f t="shared" si="21"/>
        <v>2.5000000000000001E-2</v>
      </c>
      <c r="AL40" s="126">
        <f t="shared" ca="1" si="10"/>
        <v>0.58086466899115397</v>
      </c>
      <c r="AM40" s="126">
        <f t="shared" ca="1" si="11"/>
        <v>78.361735992836159</v>
      </c>
      <c r="AN40" s="129">
        <f t="shared" ca="1" si="12"/>
        <v>2.7657083291589206</v>
      </c>
      <c r="AO40" s="1"/>
      <c r="AP40" s="40">
        <f t="shared" si="28"/>
        <v>126.0681986859063</v>
      </c>
      <c r="AQ40" s="40">
        <f t="shared" si="25"/>
        <v>157.58524835738288</v>
      </c>
      <c r="AR40" s="40">
        <f t="shared" si="26"/>
        <v>5.0983462703859184</v>
      </c>
      <c r="AS40" s="40">
        <f t="shared" si="22"/>
        <v>0.73</v>
      </c>
      <c r="AT40" s="34">
        <v>2.5000000000000001E-2</v>
      </c>
      <c r="AU40" s="34">
        <f t="shared" si="23"/>
        <v>2.5000000000000001E-2</v>
      </c>
      <c r="AV40" s="126">
        <f t="shared" ca="1" si="13"/>
        <v>0.58086466899115397</v>
      </c>
      <c r="AW40" s="126">
        <f t="shared" ca="1" si="14"/>
        <v>91.535703124999998</v>
      </c>
      <c r="AX40" s="129">
        <f t="shared" ca="1" si="15"/>
        <v>2.9614492187500008</v>
      </c>
      <c r="AY40" s="1"/>
      <c r="AZ40" s="1"/>
      <c r="BA40" s="1"/>
      <c r="BB40" s="1"/>
      <c r="BC40" s="1"/>
      <c r="BD40" s="1"/>
      <c r="BE40" s="1"/>
      <c r="BF40" s="1"/>
      <c r="BG40" s="1"/>
      <c r="BH40" s="1"/>
      <c r="BI40" s="1"/>
    </row>
    <row r="41" spans="1:61">
      <c r="A41" s="108">
        <f t="shared" si="24"/>
        <v>2049</v>
      </c>
      <c r="B41" s="40">
        <f t="shared" si="16"/>
        <v>142.37689921648675</v>
      </c>
      <c r="C41" s="40">
        <f t="shared" si="29"/>
        <v>177.97112402060844</v>
      </c>
      <c r="D41" s="40">
        <f t="shared" si="30"/>
        <v>6.2813337889626464</v>
      </c>
      <c r="E41" s="40">
        <f t="shared" si="27"/>
        <v>0.73</v>
      </c>
      <c r="F41" s="34">
        <v>0.03</v>
      </c>
      <c r="G41" s="34">
        <f t="shared" si="41"/>
        <v>2.5000000000000001E-2</v>
      </c>
      <c r="H41" s="126">
        <f t="shared" ca="1" si="0"/>
        <v>0.50669174842969433</v>
      </c>
      <c r="I41" s="126">
        <f t="shared" ca="1" si="1"/>
        <v>90.176500000000061</v>
      </c>
      <c r="J41" s="129">
        <f t="shared" ca="1" si="2"/>
        <v>3.1827000000000001</v>
      </c>
      <c r="K41" s="1"/>
      <c r="L41" s="40">
        <f t="shared" si="31"/>
        <v>142.37689921648675</v>
      </c>
      <c r="M41" s="40">
        <f t="shared" si="32"/>
        <v>177.97112402060844</v>
      </c>
      <c r="N41" s="40">
        <f t="shared" si="33"/>
        <v>6.2813337889626464</v>
      </c>
      <c r="O41" s="40">
        <f t="shared" si="34"/>
        <v>0.73</v>
      </c>
      <c r="P41" s="34">
        <f t="shared" si="42"/>
        <v>3.5000000000000003E-2</v>
      </c>
      <c r="Q41" s="34">
        <f t="shared" si="17"/>
        <v>2.9750000000000002E-2</v>
      </c>
      <c r="R41" s="126">
        <f t="shared" ca="1" si="4"/>
        <v>0.44849589894473035</v>
      </c>
      <c r="S41" s="126">
        <f t="shared" ca="1" si="5"/>
        <v>79.819319253826876</v>
      </c>
      <c r="T41" s="129">
        <f t="shared" ca="1" si="6"/>
        <v>2.8171524442527112</v>
      </c>
      <c r="U41" s="1"/>
      <c r="V41" s="40">
        <f t="shared" si="35"/>
        <v>246.04939864596744</v>
      </c>
      <c r="W41" s="40">
        <f t="shared" si="36"/>
        <v>307.56174830745942</v>
      </c>
      <c r="X41" s="40">
        <f t="shared" si="37"/>
        <v>10.855120528498555</v>
      </c>
      <c r="Y41" s="40">
        <f t="shared" si="18"/>
        <v>0.73</v>
      </c>
      <c r="Z41" s="34">
        <v>2.5000000000000001E-2</v>
      </c>
      <c r="AA41" s="34">
        <f t="shared" si="19"/>
        <v>2.5000000000000001E-2</v>
      </c>
      <c r="AB41" s="126">
        <f t="shared" ca="1" si="7"/>
        <v>0.56669723804015026</v>
      </c>
      <c r="AC41" s="126">
        <f t="shared" ca="1" si="8"/>
        <v>174.29439329263712</v>
      </c>
      <c r="AD41" s="129">
        <f t="shared" ca="1" si="9"/>
        <v>6.1515668220930673</v>
      </c>
      <c r="AE41" s="1"/>
      <c r="AF41" s="40">
        <f t="shared" si="38"/>
        <v>110.45229477697085</v>
      </c>
      <c r="AG41" s="40">
        <f t="shared" si="39"/>
        <v>138.06536847121356</v>
      </c>
      <c r="AH41" s="40">
        <f t="shared" si="40"/>
        <v>4.8728953578075318</v>
      </c>
      <c r="AI41" s="40">
        <f t="shared" si="20"/>
        <v>0.73</v>
      </c>
      <c r="AJ41" s="34">
        <v>2.5000000000000001E-2</v>
      </c>
      <c r="AK41" s="34">
        <f t="shared" si="21"/>
        <v>2.5000000000000001E-2</v>
      </c>
      <c r="AL41" s="126">
        <f t="shared" ca="1" si="10"/>
        <v>0.56669723804015026</v>
      </c>
      <c r="AM41" s="126">
        <f t="shared" ca="1" si="11"/>
        <v>78.241262981632374</v>
      </c>
      <c r="AN41" s="129">
        <f t="shared" ca="1" si="12"/>
        <v>2.761456340528198</v>
      </c>
      <c r="AO41" s="1"/>
      <c r="AP41" s="40">
        <f t="shared" si="28"/>
        <v>129.21990365305393</v>
      </c>
      <c r="AQ41" s="40">
        <f t="shared" si="25"/>
        <v>161.52487956631745</v>
      </c>
      <c r="AR41" s="40">
        <f t="shared" si="26"/>
        <v>5.2258049271455658</v>
      </c>
      <c r="AS41" s="40">
        <f t="shared" si="22"/>
        <v>0.73</v>
      </c>
      <c r="AT41" s="34">
        <v>2.5000000000000001E-2</v>
      </c>
      <c r="AU41" s="34">
        <f t="shared" si="23"/>
        <v>2.5000000000000001E-2</v>
      </c>
      <c r="AV41" s="126">
        <f t="shared" ca="1" si="13"/>
        <v>0.56669723804015026</v>
      </c>
      <c r="AW41" s="126">
        <f t="shared" ca="1" si="14"/>
        <v>91.535703124999998</v>
      </c>
      <c r="AX41" s="129">
        <f t="shared" ca="1" si="15"/>
        <v>2.9614492187500008</v>
      </c>
      <c r="AY41" s="1"/>
      <c r="AZ41" s="1"/>
      <c r="BA41" s="1"/>
      <c r="BB41" s="1"/>
      <c r="BC41" s="1"/>
      <c r="BD41" s="1"/>
      <c r="BE41" s="1"/>
      <c r="BF41" s="1"/>
      <c r="BG41" s="1"/>
      <c r="BH41" s="1"/>
      <c r="BI41" s="1"/>
    </row>
    <row r="42" spans="1:61">
      <c r="A42" s="108">
        <f t="shared" si="24"/>
        <v>2050</v>
      </c>
      <c r="B42" s="40">
        <f t="shared" si="16"/>
        <v>146.64820619298138</v>
      </c>
      <c r="C42" s="40">
        <f t="shared" si="29"/>
        <v>183.31025774122671</v>
      </c>
      <c r="D42" s="40">
        <f t="shared" si="30"/>
        <v>6.4697738026315257</v>
      </c>
      <c r="E42" s="40">
        <f t="shared" si="27"/>
        <v>0.73</v>
      </c>
      <c r="F42" s="34">
        <v>0.03</v>
      </c>
      <c r="G42" s="34">
        <f t="shared" si="41"/>
        <v>2.5000000000000001E-2</v>
      </c>
      <c r="H42" s="126">
        <f t="shared" ca="1" si="0"/>
        <v>0.49193373633950904</v>
      </c>
      <c r="I42" s="126">
        <f t="shared" ca="1" si="1"/>
        <v>90.176500000000061</v>
      </c>
      <c r="J42" s="129">
        <f t="shared" ca="1" si="2"/>
        <v>3.1826999999999996</v>
      </c>
      <c r="K42" s="1"/>
      <c r="L42" s="40">
        <f t="shared" si="31"/>
        <v>146.64820619298138</v>
      </c>
      <c r="M42" s="40">
        <f t="shared" si="32"/>
        <v>183.31025774122671</v>
      </c>
      <c r="N42" s="40">
        <f t="shared" si="33"/>
        <v>6.4697738026315257</v>
      </c>
      <c r="O42" s="40">
        <f t="shared" si="34"/>
        <v>0.73</v>
      </c>
      <c r="P42" s="34">
        <f t="shared" si="42"/>
        <v>3.5000000000000003E-2</v>
      </c>
      <c r="Q42" s="34">
        <f t="shared" si="17"/>
        <v>2.9750000000000002E-2</v>
      </c>
      <c r="R42" s="126">
        <f t="shared" ca="1" si="4"/>
        <v>0.43332937096109214</v>
      </c>
      <c r="S42" s="126">
        <f t="shared" ca="1" si="5"/>
        <v>79.433718677721444</v>
      </c>
      <c r="T42" s="129">
        <f t="shared" ca="1" si="6"/>
        <v>2.8035430121548721</v>
      </c>
      <c r="U42" s="1"/>
      <c r="V42" s="40">
        <f t="shared" si="35"/>
        <v>257.70218758184109</v>
      </c>
      <c r="W42" s="40">
        <f t="shared" si="36"/>
        <v>322.12773447730149</v>
      </c>
      <c r="X42" s="40">
        <f t="shared" si="37"/>
        <v>11.369214158022391</v>
      </c>
      <c r="Y42" s="40">
        <f t="shared" si="18"/>
        <v>0.73</v>
      </c>
      <c r="Z42" s="34">
        <v>2.5000000000000001E-2</v>
      </c>
      <c r="AA42" s="34">
        <f t="shared" si="19"/>
        <v>2.5000000000000001E-2</v>
      </c>
      <c r="AB42" s="126">
        <f t="shared" ca="1" si="7"/>
        <v>0.55287535418551248</v>
      </c>
      <c r="AC42" s="126">
        <f t="shared" ca="1" si="8"/>
        <v>178.09648529211478</v>
      </c>
      <c r="AD42" s="129">
        <f t="shared" ca="1" si="9"/>
        <v>6.2857583044275724</v>
      </c>
      <c r="AE42" s="1"/>
      <c r="AF42" s="40">
        <f t="shared" si="38"/>
        <v>113.06681733181091</v>
      </c>
      <c r="AG42" s="40">
        <f t="shared" si="39"/>
        <v>141.33352166476362</v>
      </c>
      <c r="AH42" s="40">
        <f t="shared" si="40"/>
        <v>4.9882419411092984</v>
      </c>
      <c r="AI42" s="40">
        <f t="shared" si="20"/>
        <v>0.73</v>
      </c>
      <c r="AJ42" s="34">
        <v>2.5000000000000001E-2</v>
      </c>
      <c r="AK42" s="34">
        <f t="shared" si="21"/>
        <v>2.5000000000000001E-2</v>
      </c>
      <c r="AL42" s="126">
        <f t="shared" ca="1" si="10"/>
        <v>0.55287535418551248</v>
      </c>
      <c r="AM42" s="126">
        <f t="shared" ca="1" si="11"/>
        <v>78.139820848691983</v>
      </c>
      <c r="AN42" s="129">
        <f t="shared" ca="1" si="12"/>
        <v>2.7578760299538319</v>
      </c>
      <c r="AO42" s="1"/>
      <c r="AP42" s="40">
        <f t="shared" si="28"/>
        <v>132.45040124438026</v>
      </c>
      <c r="AQ42" s="40">
        <f t="shared" si="25"/>
        <v>165.56300155547538</v>
      </c>
      <c r="AR42" s="40">
        <f t="shared" si="26"/>
        <v>5.3564500503242041</v>
      </c>
      <c r="AS42" s="40">
        <f t="shared" si="22"/>
        <v>0.73</v>
      </c>
      <c r="AT42" s="34">
        <v>2.5000000000000001E-2</v>
      </c>
      <c r="AU42" s="34">
        <f t="shared" si="23"/>
        <v>2.5000000000000001E-2</v>
      </c>
      <c r="AV42" s="126">
        <f t="shared" ca="1" si="13"/>
        <v>0.55287535418551248</v>
      </c>
      <c r="AW42" s="126">
        <f t="shared" ca="1" si="14"/>
        <v>91.535703125000012</v>
      </c>
      <c r="AX42" s="129">
        <f t="shared" ca="1" si="15"/>
        <v>2.9614492187500003</v>
      </c>
      <c r="AY42" s="1"/>
      <c r="AZ42" s="1"/>
      <c r="BA42" s="1"/>
      <c r="BB42" s="1"/>
      <c r="BC42" s="1"/>
      <c r="BD42" s="1"/>
      <c r="BE42" s="1"/>
      <c r="BF42" s="1"/>
      <c r="BG42" s="1"/>
      <c r="BH42" s="1"/>
      <c r="BI42" s="1"/>
    </row>
    <row r="43" spans="1:61">
      <c r="A43" s="108">
        <f t="shared" si="24"/>
        <v>2051</v>
      </c>
      <c r="B43" s="40">
        <f t="shared" si="16"/>
        <v>151.04765237877083</v>
      </c>
      <c r="C43" s="40">
        <f t="shared" si="29"/>
        <v>188.80956547346352</v>
      </c>
      <c r="D43" s="40">
        <f t="shared" si="30"/>
        <v>6.6638670167104719</v>
      </c>
      <c r="E43" s="40">
        <f t="shared" si="27"/>
        <v>0.73</v>
      </c>
      <c r="F43" s="34">
        <v>0.03</v>
      </c>
      <c r="G43" s="34">
        <f t="shared" si="41"/>
        <v>2.5000000000000001E-2</v>
      </c>
      <c r="H43" s="126">
        <f t="shared" ca="1" si="0"/>
        <v>0.47760556926165926</v>
      </c>
      <c r="I43" s="126">
        <f t="shared" ca="1" si="1"/>
        <v>90.176500000000075</v>
      </c>
      <c r="J43" s="129">
        <f t="shared" ca="1" si="2"/>
        <v>3.1827000000000001</v>
      </c>
      <c r="K43" s="1"/>
      <c r="L43" s="40">
        <f t="shared" si="31"/>
        <v>151.04765237877083</v>
      </c>
      <c r="M43" s="40">
        <f t="shared" si="32"/>
        <v>188.80956547346352</v>
      </c>
      <c r="N43" s="40">
        <f t="shared" si="33"/>
        <v>6.6638670167104719</v>
      </c>
      <c r="O43" s="40">
        <f t="shared" si="34"/>
        <v>0.73</v>
      </c>
      <c r="P43" s="34">
        <f t="shared" si="42"/>
        <v>3.5000000000000003E-2</v>
      </c>
      <c r="Q43" s="34">
        <f t="shared" si="17"/>
        <v>2.9750000000000002E-2</v>
      </c>
      <c r="R43" s="126">
        <f t="shared" ca="1" si="4"/>
        <v>0.41867572073535475</v>
      </c>
      <c r="S43" s="126">
        <f t="shared" ca="1" si="5"/>
        <v>79.049980906331498</v>
      </c>
      <c r="T43" s="129">
        <f t="shared" ca="1" si="6"/>
        <v>2.7899993261058151</v>
      </c>
      <c r="U43" s="1"/>
      <c r="V43" s="40">
        <f t="shared" si="35"/>
        <v>269.8326993950858</v>
      </c>
      <c r="W43" s="40">
        <f t="shared" si="36"/>
        <v>337.29087424385739</v>
      </c>
      <c r="X43" s="40">
        <f t="shared" si="37"/>
        <v>11.904383796842009</v>
      </c>
      <c r="Y43" s="40">
        <f t="shared" si="18"/>
        <v>0.73</v>
      </c>
      <c r="Z43" s="34">
        <v>2.5000000000000001E-2</v>
      </c>
      <c r="AA43" s="34">
        <f t="shared" si="19"/>
        <v>2.5000000000000001E-2</v>
      </c>
      <c r="AB43" s="126">
        <f t="shared" ca="1" si="7"/>
        <v>0.53939058944928053</v>
      </c>
      <c r="AC43" s="126">
        <f t="shared" ca="1" si="8"/>
        <v>181.9315234742574</v>
      </c>
      <c r="AD43" s="129">
        <f t="shared" ca="1" si="9"/>
        <v>6.4211125932090756</v>
      </c>
      <c r="AE43" s="1"/>
      <c r="AF43" s="40">
        <f t="shared" si="38"/>
        <v>115.7702612576232</v>
      </c>
      <c r="AG43" s="40">
        <f t="shared" si="39"/>
        <v>144.71282657202897</v>
      </c>
      <c r="AH43" s="40">
        <f t="shared" si="40"/>
        <v>5.1075115260716046</v>
      </c>
      <c r="AI43" s="40">
        <f t="shared" si="20"/>
        <v>0.73</v>
      </c>
      <c r="AJ43" s="34">
        <v>2.5000000000000001E-2</v>
      </c>
      <c r="AK43" s="34">
        <f t="shared" si="21"/>
        <v>2.5000000000000001E-2</v>
      </c>
      <c r="AL43" s="126">
        <f t="shared" ca="1" si="10"/>
        <v>0.53939058944928053</v>
      </c>
      <c r="AM43" s="126">
        <f t="shared" ca="1" si="11"/>
        <v>78.056736825558218</v>
      </c>
      <c r="AN43" s="129">
        <f t="shared" ca="1" si="12"/>
        <v>2.754943652666757</v>
      </c>
      <c r="AO43" s="1"/>
      <c r="AP43" s="40">
        <f t="shared" si="28"/>
        <v>135.76166127548976</v>
      </c>
      <c r="AQ43" s="40">
        <f t="shared" si="25"/>
        <v>169.70207659436224</v>
      </c>
      <c r="AR43" s="40">
        <f t="shared" si="26"/>
        <v>5.4903613015823085</v>
      </c>
      <c r="AS43" s="40">
        <f t="shared" si="22"/>
        <v>0.73</v>
      </c>
      <c r="AT43" s="34">
        <v>2.5000000000000001E-2</v>
      </c>
      <c r="AU43" s="34">
        <f t="shared" si="23"/>
        <v>2.5000000000000001E-2</v>
      </c>
      <c r="AV43" s="126">
        <f t="shared" ca="1" si="13"/>
        <v>0.53939058944928053</v>
      </c>
      <c r="AW43" s="126">
        <f t="shared" ca="1" si="14"/>
        <v>91.535703124999998</v>
      </c>
      <c r="AX43" s="129">
        <f t="shared" ca="1" si="15"/>
        <v>2.9614492187500003</v>
      </c>
      <c r="AY43" s="1"/>
      <c r="AZ43" s="1"/>
      <c r="BA43" s="1"/>
      <c r="BB43" s="1"/>
      <c r="BC43" s="1"/>
      <c r="BD43" s="1"/>
      <c r="BE43" s="1"/>
      <c r="BF43" s="1"/>
      <c r="BG43" s="1"/>
      <c r="BH43" s="1"/>
      <c r="BI43" s="1"/>
    </row>
    <row r="44" spans="1:61">
      <c r="A44" s="108">
        <f t="shared" si="24"/>
        <v>2052</v>
      </c>
      <c r="B44" s="40">
        <f t="shared" si="16"/>
        <v>155.57908195013397</v>
      </c>
      <c r="C44" s="40">
        <f t="shared" si="29"/>
        <v>194.47385243766743</v>
      </c>
      <c r="D44" s="40">
        <f t="shared" si="30"/>
        <v>6.8637830272117863</v>
      </c>
      <c r="E44" s="40">
        <f t="shared" si="27"/>
        <v>0.73</v>
      </c>
      <c r="F44" s="34">
        <v>0.03</v>
      </c>
      <c r="G44" s="34">
        <f t="shared" si="41"/>
        <v>2.5000000000000001E-2</v>
      </c>
      <c r="H44" s="126">
        <f t="shared" ref="H44:H75" ca="1" si="43">IF($A44=current_year,1,IF($A44&lt;current_year,H45*(1+F44),H43/(1+F44)))</f>
        <v>0.4636947274385041</v>
      </c>
      <c r="I44" s="126">
        <f t="shared" ref="I44:I75" ca="1" si="44">C44*H44</f>
        <v>90.176500000000061</v>
      </c>
      <c r="J44" s="129">
        <f t="shared" ref="J44:J75" ca="1" si="45">D44*H44</f>
        <v>3.1826999999999996</v>
      </c>
      <c r="K44" s="1"/>
      <c r="L44" s="40">
        <f t="shared" si="31"/>
        <v>155.57908195013397</v>
      </c>
      <c r="M44" s="40">
        <f t="shared" si="32"/>
        <v>194.47385243766743</v>
      </c>
      <c r="N44" s="40">
        <f t="shared" si="33"/>
        <v>6.8637830272117863</v>
      </c>
      <c r="O44" s="40">
        <f t="shared" si="34"/>
        <v>0.73</v>
      </c>
      <c r="P44" s="34">
        <f t="shared" si="42"/>
        <v>3.5000000000000003E-2</v>
      </c>
      <c r="Q44" s="34">
        <f t="shared" si="17"/>
        <v>2.9750000000000002E-2</v>
      </c>
      <c r="R44" s="126">
        <f t="shared" ref="R44:R75" ca="1" si="46">IF($A44=current_year,1,IF($A44&lt;current_year,R45*(1+P44),R43/(1+P44)))</f>
        <v>0.40451760457522201</v>
      </c>
      <c r="S44" s="126">
        <f t="shared" ref="S44:S75" ca="1" si="47">M44*R44</f>
        <v>78.668096940600435</v>
      </c>
      <c r="T44" s="129">
        <f t="shared" ref="T44:T75" ca="1" si="48">N44*R44</f>
        <v>2.7765210684917778</v>
      </c>
      <c r="U44" s="1"/>
      <c r="V44" s="40">
        <f t="shared" si="35"/>
        <v>282.45910994830149</v>
      </c>
      <c r="W44" s="40">
        <f t="shared" si="36"/>
        <v>353.07388743537706</v>
      </c>
      <c r="X44" s="40">
        <f t="shared" si="37"/>
        <v>12.461431321248583</v>
      </c>
      <c r="Y44" s="40">
        <f t="shared" si="18"/>
        <v>0.73</v>
      </c>
      <c r="Z44" s="34">
        <v>2.5000000000000001E-2</v>
      </c>
      <c r="AA44" s="34">
        <f t="shared" si="19"/>
        <v>2.5000000000000001E-2</v>
      </c>
      <c r="AB44" s="126">
        <f t="shared" ref="AB44:AB75" ca="1" si="49">IF($A44=current_year,1,IF($A44&lt;current_year,AB45*(1+Z44),AB43/(1+Z44)))</f>
        <v>0.52623472141393224</v>
      </c>
      <c r="AC44" s="126">
        <f t="shared" ref="AC44:AC75" ca="1" si="50">W44*AB44</f>
        <v>185.79973879308972</v>
      </c>
      <c r="AD44" s="129">
        <f t="shared" ref="AD44:AD75" ca="1" si="51">X44*AB44</f>
        <v>6.5576378397560973</v>
      </c>
      <c r="AE44" s="1"/>
      <c r="AF44" s="40">
        <f t="shared" si="38"/>
        <v>118.56513691012199</v>
      </c>
      <c r="AG44" s="40">
        <f t="shared" si="39"/>
        <v>148.20642113765246</v>
      </c>
      <c r="AH44" s="40">
        <f t="shared" si="40"/>
        <v>5.2308148636818448</v>
      </c>
      <c r="AI44" s="40">
        <f t="shared" si="20"/>
        <v>0.73</v>
      </c>
      <c r="AJ44" s="34">
        <v>2.5000000000000001E-2</v>
      </c>
      <c r="AK44" s="34">
        <f t="shared" si="21"/>
        <v>2.5000000000000001E-2</v>
      </c>
      <c r="AL44" s="126">
        <f t="shared" ref="AL44:AL75" ca="1" si="52">IF($A44=current_year,1,IF($A44&lt;current_year,AL45*(1+AJ44),AL43/(1+AJ44)))</f>
        <v>0.52623472141393224</v>
      </c>
      <c r="AM44" s="126">
        <f t="shared" ref="AM44:AM75" ca="1" si="53">AG44*AL44</f>
        <v>77.991364739128457</v>
      </c>
      <c r="AN44" s="129">
        <f t="shared" ref="AN44:AN75" ca="1" si="54">AH44*AL44</f>
        <v>2.7526364025574717</v>
      </c>
      <c r="AO44" s="1"/>
      <c r="AP44" s="40">
        <f t="shared" si="28"/>
        <v>139.155702807377</v>
      </c>
      <c r="AQ44" s="40">
        <f t="shared" si="25"/>
        <v>173.94462850922127</v>
      </c>
      <c r="AR44" s="40">
        <f t="shared" si="26"/>
        <v>5.6276203341218656</v>
      </c>
      <c r="AS44" s="40">
        <f t="shared" si="22"/>
        <v>0.73</v>
      </c>
      <c r="AT44" s="34">
        <v>2.5000000000000001E-2</v>
      </c>
      <c r="AU44" s="34">
        <f t="shared" si="23"/>
        <v>2.5000000000000001E-2</v>
      </c>
      <c r="AV44" s="126">
        <f t="shared" ref="AV44:AV75" ca="1" si="55">IF($A44=current_year,1,IF($A44&lt;current_year,AV45*(1+AT44),AV43/(1+AT44)))</f>
        <v>0.52623472141393224</v>
      </c>
      <c r="AW44" s="126">
        <f t="shared" ref="AW44:AW75" ca="1" si="56">AQ44*AV44</f>
        <v>91.535703124999998</v>
      </c>
      <c r="AX44" s="129">
        <f t="shared" ref="AX44:AX75" ca="1" si="57">AR44*AV44</f>
        <v>2.9614492187500003</v>
      </c>
      <c r="AY44" s="1"/>
      <c r="AZ44" s="1"/>
      <c r="BA44" s="1"/>
      <c r="BB44" s="1"/>
      <c r="BC44" s="1"/>
      <c r="BD44" s="1"/>
      <c r="BE44" s="1"/>
      <c r="BF44" s="1"/>
      <c r="BG44" s="1"/>
      <c r="BH44" s="1"/>
      <c r="BI44" s="1"/>
    </row>
    <row r="45" spans="1:61">
      <c r="A45" s="108">
        <f t="shared" si="24"/>
        <v>2053</v>
      </c>
      <c r="B45" s="40">
        <f t="shared" si="16"/>
        <v>160.24645440863799</v>
      </c>
      <c r="C45" s="40">
        <f t="shared" si="29"/>
        <v>200.30806801079746</v>
      </c>
      <c r="D45" s="40">
        <f t="shared" si="30"/>
        <v>7.0696965180281399</v>
      </c>
      <c r="E45" s="40">
        <f t="shared" si="27"/>
        <v>0.73</v>
      </c>
      <c r="F45" s="34">
        <v>0.03</v>
      </c>
      <c r="G45" s="34">
        <f t="shared" si="41"/>
        <v>2.5000000000000001E-2</v>
      </c>
      <c r="H45" s="126">
        <f t="shared" ca="1" si="43"/>
        <v>0.45018905576553797</v>
      </c>
      <c r="I45" s="126">
        <f t="shared" ca="1" si="44"/>
        <v>90.176500000000075</v>
      </c>
      <c r="J45" s="129">
        <f t="shared" ca="1" si="45"/>
        <v>3.1827000000000001</v>
      </c>
      <c r="K45" s="1"/>
      <c r="L45" s="40">
        <f t="shared" si="31"/>
        <v>160.24645440863799</v>
      </c>
      <c r="M45" s="40">
        <f t="shared" si="32"/>
        <v>200.30806801079746</v>
      </c>
      <c r="N45" s="40">
        <f t="shared" si="33"/>
        <v>7.0696965180281399</v>
      </c>
      <c r="O45" s="40">
        <f t="shared" si="34"/>
        <v>0.73</v>
      </c>
      <c r="P45" s="34">
        <f t="shared" si="42"/>
        <v>3.5000000000000003E-2</v>
      </c>
      <c r="Q45" s="34">
        <f t="shared" si="17"/>
        <v>2.9750000000000002E-2</v>
      </c>
      <c r="R45" s="126">
        <f t="shared" ca="1" si="46"/>
        <v>0.3908382652900696</v>
      </c>
      <c r="S45" s="126">
        <f t="shared" ca="1" si="47"/>
        <v>78.288057824945355</v>
      </c>
      <c r="T45" s="129">
        <f t="shared" ca="1" si="48"/>
        <v>2.7631079232333633</v>
      </c>
      <c r="U45" s="1"/>
      <c r="V45" s="40">
        <f t="shared" si="35"/>
        <v>295.60025570525454</v>
      </c>
      <c r="W45" s="40">
        <f t="shared" si="36"/>
        <v>369.50031963156846</v>
      </c>
      <c r="X45" s="40">
        <f t="shared" si="37"/>
        <v>13.041187751702394</v>
      </c>
      <c r="Y45" s="40">
        <f t="shared" si="18"/>
        <v>0.73</v>
      </c>
      <c r="Z45" s="34">
        <v>2.5000000000000001E-2</v>
      </c>
      <c r="AA45" s="34">
        <f t="shared" si="19"/>
        <v>2.5000000000000001E-2</v>
      </c>
      <c r="AB45" s="126">
        <f t="shared" ca="1" si="49"/>
        <v>0.51339972820871438</v>
      </c>
      <c r="AC45" s="126">
        <f t="shared" ca="1" si="50"/>
        <v>189.70136367188033</v>
      </c>
      <c r="AD45" s="129">
        <f t="shared" ca="1" si="51"/>
        <v>6.6953422472428237</v>
      </c>
      <c r="AE45" s="1"/>
      <c r="AF45" s="40">
        <f t="shared" si="38"/>
        <v>121.45403231497419</v>
      </c>
      <c r="AG45" s="40">
        <f t="shared" si="39"/>
        <v>151.81754039371768</v>
      </c>
      <c r="AH45" s="40">
        <f t="shared" si="40"/>
        <v>5.3582661315429707</v>
      </c>
      <c r="AI45" s="40">
        <f t="shared" si="20"/>
        <v>0.73</v>
      </c>
      <c r="AJ45" s="34">
        <v>2.5000000000000001E-2</v>
      </c>
      <c r="AK45" s="34">
        <f t="shared" si="21"/>
        <v>2.5000000000000001E-2</v>
      </c>
      <c r="AL45" s="126">
        <f t="shared" ca="1" si="52"/>
        <v>0.51339972820871438</v>
      </c>
      <c r="AM45" s="126">
        <f t="shared" ca="1" si="53"/>
        <v>77.943083975450179</v>
      </c>
      <c r="AN45" s="129">
        <f t="shared" ca="1" si="54"/>
        <v>2.7509323756041204</v>
      </c>
      <c r="AO45" s="1"/>
      <c r="AP45" s="40">
        <f t="shared" si="28"/>
        <v>142.6345953775614</v>
      </c>
      <c r="AQ45" s="40">
        <f t="shared" si="25"/>
        <v>178.2932442219518</v>
      </c>
      <c r="AR45" s="40">
        <f t="shared" si="26"/>
        <v>5.7683108424749117</v>
      </c>
      <c r="AS45" s="40">
        <f t="shared" si="22"/>
        <v>0.73</v>
      </c>
      <c r="AT45" s="34">
        <v>2.5000000000000001E-2</v>
      </c>
      <c r="AU45" s="34">
        <f t="shared" si="23"/>
        <v>2.5000000000000001E-2</v>
      </c>
      <c r="AV45" s="126">
        <f t="shared" ca="1" si="55"/>
        <v>0.51339972820871438</v>
      </c>
      <c r="AW45" s="126">
        <f t="shared" ca="1" si="56"/>
        <v>91.535703124999984</v>
      </c>
      <c r="AX45" s="129">
        <f t="shared" ca="1" si="57"/>
        <v>2.9614492187499999</v>
      </c>
      <c r="AY45" s="1"/>
      <c r="AZ45" s="1"/>
      <c r="BA45" s="1"/>
      <c r="BB45" s="1"/>
      <c r="BC45" s="1"/>
      <c r="BD45" s="1"/>
      <c r="BE45" s="1"/>
      <c r="BF45" s="1"/>
      <c r="BG45" s="1"/>
      <c r="BH45" s="1"/>
      <c r="BI45" s="1"/>
    </row>
    <row r="46" spans="1:61">
      <c r="A46" s="108">
        <f t="shared" si="24"/>
        <v>2054</v>
      </c>
      <c r="B46" s="40">
        <f t="shared" si="16"/>
        <v>165.05384804089712</v>
      </c>
      <c r="C46" s="40">
        <f t="shared" si="29"/>
        <v>206.31731005112138</v>
      </c>
      <c r="D46" s="40">
        <f t="shared" si="30"/>
        <v>7.281787413568984</v>
      </c>
      <c r="E46" s="40">
        <f t="shared" si="27"/>
        <v>0.73</v>
      </c>
      <c r="F46" s="34">
        <v>0.03</v>
      </c>
      <c r="G46" s="34">
        <f t="shared" si="41"/>
        <v>2.5000000000000001E-2</v>
      </c>
      <c r="H46" s="126">
        <f t="shared" ca="1" si="43"/>
        <v>0.43707675317042521</v>
      </c>
      <c r="I46" s="126">
        <f t="shared" ca="1" si="44"/>
        <v>90.176500000000075</v>
      </c>
      <c r="J46" s="129">
        <f t="shared" ca="1" si="45"/>
        <v>3.1826999999999996</v>
      </c>
      <c r="K46" s="1"/>
      <c r="L46" s="40">
        <f t="shared" si="31"/>
        <v>165.05384804089712</v>
      </c>
      <c r="M46" s="40">
        <f t="shared" si="32"/>
        <v>206.31731005112138</v>
      </c>
      <c r="N46" s="40">
        <f t="shared" si="33"/>
        <v>7.281787413568984</v>
      </c>
      <c r="O46" s="40">
        <f t="shared" si="34"/>
        <v>0.73</v>
      </c>
      <c r="P46" s="34">
        <f t="shared" si="42"/>
        <v>3.5000000000000003E-2</v>
      </c>
      <c r="Q46" s="34">
        <f t="shared" si="17"/>
        <v>2.9750000000000002E-2</v>
      </c>
      <c r="R46" s="126">
        <f t="shared" ca="1" si="46"/>
        <v>0.3776215123575552</v>
      </c>
      <c r="S46" s="126">
        <f t="shared" ca="1" si="47"/>
        <v>77.909854647047084</v>
      </c>
      <c r="T46" s="129">
        <f t="shared" ca="1" si="48"/>
        <v>2.7497595757781301</v>
      </c>
      <c r="U46" s="1"/>
      <c r="V46" s="40">
        <f t="shared" si="35"/>
        <v>309.27565700867137</v>
      </c>
      <c r="W46" s="40">
        <f t="shared" si="36"/>
        <v>386.59457126083942</v>
      </c>
      <c r="X46" s="40">
        <f t="shared" si="37"/>
        <v>13.644514279794311</v>
      </c>
      <c r="Y46" s="40">
        <f t="shared" si="18"/>
        <v>0.73</v>
      </c>
      <c r="Z46" s="34">
        <v>2.5000000000000001E-2</v>
      </c>
      <c r="AA46" s="34">
        <f t="shared" si="19"/>
        <v>2.5000000000000001E-2</v>
      </c>
      <c r="AB46" s="126">
        <f t="shared" ca="1" si="49"/>
        <v>0.50087778361825797</v>
      </c>
      <c r="AC46" s="126">
        <f t="shared" ca="1" si="50"/>
        <v>193.63663201197994</v>
      </c>
      <c r="AD46" s="129">
        <f t="shared" ca="1" si="51"/>
        <v>6.8342340710110463</v>
      </c>
      <c r="AE46" s="1"/>
      <c r="AF46" s="40">
        <f t="shared" si="38"/>
        <v>124.43961546250871</v>
      </c>
      <c r="AG46" s="40">
        <f t="shared" si="39"/>
        <v>155.54951932813583</v>
      </c>
      <c r="AH46" s="40">
        <f t="shared" si="40"/>
        <v>5.4899830351106704</v>
      </c>
      <c r="AI46" s="40">
        <f t="shared" si="20"/>
        <v>0.73</v>
      </c>
      <c r="AJ46" s="34">
        <v>2.5000000000000001E-2</v>
      </c>
      <c r="AK46" s="34">
        <f t="shared" si="21"/>
        <v>2.5000000000000001E-2</v>
      </c>
      <c r="AL46" s="126">
        <f t="shared" ca="1" si="52"/>
        <v>0.50087778361825797</v>
      </c>
      <c r="AM46" s="126">
        <f t="shared" ca="1" si="53"/>
        <v>77.911298483962057</v>
      </c>
      <c r="AN46" s="129">
        <f t="shared" ca="1" si="54"/>
        <v>2.7498105347280695</v>
      </c>
      <c r="AO46" s="1"/>
      <c r="AP46" s="40">
        <f t="shared" si="28"/>
        <v>146.20046026200041</v>
      </c>
      <c r="AQ46" s="40">
        <f t="shared" si="25"/>
        <v>182.75057532750057</v>
      </c>
      <c r="AR46" s="40">
        <f t="shared" si="26"/>
        <v>5.9125186135367835</v>
      </c>
      <c r="AS46" s="40">
        <f t="shared" si="22"/>
        <v>0.73</v>
      </c>
      <c r="AT46" s="34">
        <v>2.5000000000000001E-2</v>
      </c>
      <c r="AU46" s="34">
        <f t="shared" si="23"/>
        <v>2.5000000000000001E-2</v>
      </c>
      <c r="AV46" s="126">
        <f t="shared" ca="1" si="55"/>
        <v>0.50087778361825797</v>
      </c>
      <c r="AW46" s="126">
        <f t="shared" ca="1" si="56"/>
        <v>91.535703124999984</v>
      </c>
      <c r="AX46" s="129">
        <f t="shared" ca="1" si="57"/>
        <v>2.9614492187499994</v>
      </c>
      <c r="AY46" s="1"/>
      <c r="AZ46" s="1"/>
      <c r="BA46" s="1"/>
      <c r="BB46" s="1"/>
      <c r="BC46" s="1"/>
      <c r="BD46" s="1"/>
      <c r="BE46" s="1"/>
      <c r="BF46" s="1"/>
      <c r="BG46" s="1"/>
      <c r="BH46" s="1"/>
      <c r="BI46" s="1"/>
    </row>
    <row r="47" spans="1:61">
      <c r="A47" s="108">
        <f t="shared" si="24"/>
        <v>2055</v>
      </c>
      <c r="B47" s="40">
        <f t="shared" si="16"/>
        <v>170.00546348212401</v>
      </c>
      <c r="C47" s="40">
        <f t="shared" si="29"/>
        <v>212.50682935265502</v>
      </c>
      <c r="D47" s="40">
        <f t="shared" si="30"/>
        <v>7.5002410359760541</v>
      </c>
      <c r="E47" s="40">
        <f t="shared" si="27"/>
        <v>0.73</v>
      </c>
      <c r="F47" s="34">
        <v>0.03</v>
      </c>
      <c r="G47" s="34">
        <f t="shared" si="41"/>
        <v>2.5000000000000001E-2</v>
      </c>
      <c r="H47" s="126">
        <f t="shared" ca="1" si="43"/>
        <v>0.42434636230138367</v>
      </c>
      <c r="I47" s="126">
        <f t="shared" ca="1" si="44"/>
        <v>90.176500000000061</v>
      </c>
      <c r="J47" s="129">
        <f t="shared" ca="1" si="45"/>
        <v>3.1826999999999996</v>
      </c>
      <c r="K47" s="1"/>
      <c r="L47" s="40">
        <f t="shared" si="31"/>
        <v>170.00546348212401</v>
      </c>
      <c r="M47" s="40">
        <f t="shared" si="32"/>
        <v>212.50682935265502</v>
      </c>
      <c r="N47" s="40">
        <f t="shared" si="33"/>
        <v>7.5002410359760541</v>
      </c>
      <c r="O47" s="40">
        <f t="shared" si="34"/>
        <v>0.73</v>
      </c>
      <c r="P47" s="34">
        <f t="shared" si="42"/>
        <v>3.5000000000000003E-2</v>
      </c>
      <c r="Q47" s="34">
        <f t="shared" si="17"/>
        <v>2.9750000000000002E-2</v>
      </c>
      <c r="R47" s="126">
        <f t="shared" ca="1" si="46"/>
        <v>0.36485170276092294</v>
      </c>
      <c r="S47" s="126">
        <f t="shared" ca="1" si="47"/>
        <v>77.533478537641059</v>
      </c>
      <c r="T47" s="129">
        <f t="shared" ca="1" si="48"/>
        <v>2.736475713093212</v>
      </c>
      <c r="U47" s="1"/>
      <c r="V47" s="40">
        <f t="shared" si="35"/>
        <v>323.50554216015837</v>
      </c>
      <c r="W47" s="40">
        <f t="shared" si="36"/>
        <v>404.38192770019828</v>
      </c>
      <c r="X47" s="40">
        <f t="shared" si="37"/>
        <v>14.272303330595211</v>
      </c>
      <c r="Y47" s="40">
        <f t="shared" si="18"/>
        <v>0.73</v>
      </c>
      <c r="Z47" s="34">
        <v>2.5000000000000001E-2</v>
      </c>
      <c r="AA47" s="34">
        <f t="shared" si="19"/>
        <v>2.5000000000000001E-2</v>
      </c>
      <c r="AB47" s="126">
        <f t="shared" ca="1" si="49"/>
        <v>0.48866125231049562</v>
      </c>
      <c r="AC47" s="126">
        <f t="shared" ca="1" si="50"/>
        <v>197.60577920171119</v>
      </c>
      <c r="AD47" s="129">
        <f t="shared" ca="1" si="51"/>
        <v>6.9743216188839137</v>
      </c>
      <c r="AE47" s="1"/>
      <c r="AF47" s="40">
        <f t="shared" si="38"/>
        <v>127.52463667179798</v>
      </c>
      <c r="AG47" s="40">
        <f t="shared" si="39"/>
        <v>159.40579583974741</v>
      </c>
      <c r="AH47" s="40">
        <f t="shared" si="40"/>
        <v>5.6260869119910808</v>
      </c>
      <c r="AI47" s="40">
        <f t="shared" si="20"/>
        <v>0.73</v>
      </c>
      <c r="AJ47" s="34">
        <v>2.5000000000000001E-2</v>
      </c>
      <c r="AK47" s="34">
        <f t="shared" si="21"/>
        <v>2.5000000000000001E-2</v>
      </c>
      <c r="AL47" s="126">
        <f t="shared" ca="1" si="52"/>
        <v>0.48866125231049562</v>
      </c>
      <c r="AM47" s="126">
        <f t="shared" ca="1" si="53"/>
        <v>77.89543582060216</v>
      </c>
      <c r="AN47" s="129">
        <f t="shared" ca="1" si="54"/>
        <v>2.7492506760212505</v>
      </c>
      <c r="AO47" s="1"/>
      <c r="AP47" s="40">
        <f t="shared" si="28"/>
        <v>149.85547176855042</v>
      </c>
      <c r="AQ47" s="40">
        <f t="shared" si="25"/>
        <v>187.31933971068807</v>
      </c>
      <c r="AR47" s="40">
        <f t="shared" si="26"/>
        <v>6.0603315788752026</v>
      </c>
      <c r="AS47" s="40">
        <f t="shared" si="22"/>
        <v>0.73</v>
      </c>
      <c r="AT47" s="34">
        <v>2.5000000000000001E-2</v>
      </c>
      <c r="AU47" s="34">
        <f t="shared" si="23"/>
        <v>2.5000000000000001E-2</v>
      </c>
      <c r="AV47" s="126">
        <f t="shared" ca="1" si="55"/>
        <v>0.48866125231049562</v>
      </c>
      <c r="AW47" s="126">
        <f t="shared" ca="1" si="56"/>
        <v>91.535703124999984</v>
      </c>
      <c r="AX47" s="129">
        <f t="shared" ca="1" si="57"/>
        <v>2.9614492187499994</v>
      </c>
      <c r="AY47" s="1"/>
      <c r="AZ47" s="1"/>
      <c r="BA47" s="1"/>
      <c r="BB47" s="1"/>
      <c r="BC47" s="1"/>
      <c r="BD47" s="1"/>
      <c r="BE47" s="1"/>
      <c r="BF47" s="1"/>
      <c r="BG47" s="1"/>
      <c r="BH47" s="1"/>
      <c r="BI47" s="1"/>
    </row>
    <row r="48" spans="1:61">
      <c r="A48" s="108">
        <f t="shared" si="24"/>
        <v>2056</v>
      </c>
      <c r="B48" s="40">
        <f t="shared" si="16"/>
        <v>175.10562738658774</v>
      </c>
      <c r="C48" s="40">
        <f t="shared" si="29"/>
        <v>218.88203423323466</v>
      </c>
      <c r="D48" s="40">
        <f t="shared" si="30"/>
        <v>7.7252482670553357</v>
      </c>
      <c r="E48" s="40">
        <f t="shared" si="27"/>
        <v>0.73</v>
      </c>
      <c r="F48" s="34">
        <v>0.03</v>
      </c>
      <c r="G48" s="34">
        <f t="shared" si="41"/>
        <v>2.5000000000000001E-2</v>
      </c>
      <c r="H48" s="126">
        <f t="shared" ca="1" si="43"/>
        <v>0.41198675951590646</v>
      </c>
      <c r="I48" s="126">
        <f t="shared" ca="1" si="44"/>
        <v>90.176500000000061</v>
      </c>
      <c r="J48" s="129">
        <f t="shared" ca="1" si="45"/>
        <v>3.1826999999999996</v>
      </c>
      <c r="K48" s="1"/>
      <c r="L48" s="40">
        <f t="shared" si="31"/>
        <v>175.10562738658774</v>
      </c>
      <c r="M48" s="40">
        <f t="shared" si="32"/>
        <v>218.88203423323466</v>
      </c>
      <c r="N48" s="40">
        <f t="shared" si="33"/>
        <v>7.7252482670553357</v>
      </c>
      <c r="O48" s="40">
        <f t="shared" si="34"/>
        <v>0.73</v>
      </c>
      <c r="P48" s="34">
        <f t="shared" si="42"/>
        <v>3.5000000000000003E-2</v>
      </c>
      <c r="Q48" s="34">
        <f t="shared" si="17"/>
        <v>2.9750000000000002E-2</v>
      </c>
      <c r="R48" s="126">
        <f t="shared" ca="1" si="46"/>
        <v>0.35251372247432172</v>
      </c>
      <c r="S48" s="126">
        <f t="shared" ca="1" si="47"/>
        <v>77.15892067030947</v>
      </c>
      <c r="T48" s="129">
        <f t="shared" ca="1" si="48"/>
        <v>2.7232560236579793</v>
      </c>
      <c r="U48" s="1"/>
      <c r="V48" s="40">
        <f t="shared" si="35"/>
        <v>338.31087232942684</v>
      </c>
      <c r="W48" s="40">
        <f t="shared" si="36"/>
        <v>422.88859041178387</v>
      </c>
      <c r="X48" s="40">
        <f t="shared" si="37"/>
        <v>14.92547966159235</v>
      </c>
      <c r="Y48" s="40">
        <f t="shared" si="18"/>
        <v>0.73</v>
      </c>
      <c r="Z48" s="34">
        <v>2.5000000000000001E-2</v>
      </c>
      <c r="AA48" s="34">
        <f t="shared" si="19"/>
        <v>2.5000000000000001E-2</v>
      </c>
      <c r="AB48" s="126">
        <f t="shared" ca="1" si="49"/>
        <v>0.4767426851809714</v>
      </c>
      <c r="AC48" s="126">
        <f t="shared" ca="1" si="50"/>
        <v>201.60904212530983</v>
      </c>
      <c r="AD48" s="129">
        <f t="shared" ca="1" si="51"/>
        <v>7.1156132514815136</v>
      </c>
      <c r="AE48" s="1"/>
      <c r="AF48" s="40">
        <f t="shared" si="38"/>
        <v>130.71193102618474</v>
      </c>
      <c r="AG48" s="40">
        <f t="shared" si="39"/>
        <v>163.38991378273084</v>
      </c>
      <c r="AH48" s="40">
        <f t="shared" si="40"/>
        <v>5.7667028393904962</v>
      </c>
      <c r="AI48" s="40">
        <f t="shared" si="20"/>
        <v>0.73</v>
      </c>
      <c r="AJ48" s="34">
        <v>2.5000000000000001E-2</v>
      </c>
      <c r="AK48" s="34">
        <f t="shared" si="21"/>
        <v>2.5000000000000001E-2</v>
      </c>
      <c r="AL48" s="126">
        <f t="shared" ca="1" si="52"/>
        <v>0.4767426851809714</v>
      </c>
      <c r="AM48" s="126">
        <f t="shared" ca="1" si="53"/>
        <v>77.894946228266505</v>
      </c>
      <c r="AN48" s="129">
        <f t="shared" ca="1" si="54"/>
        <v>2.7492333962917574</v>
      </c>
      <c r="AO48" s="1"/>
      <c r="AP48" s="40">
        <f t="shared" si="28"/>
        <v>153.60185856276416</v>
      </c>
      <c r="AQ48" s="40">
        <f t="shared" si="25"/>
        <v>192.00232320345526</v>
      </c>
      <c r="AR48" s="40">
        <f t="shared" si="26"/>
        <v>6.2118398683470817</v>
      </c>
      <c r="AS48" s="40">
        <f t="shared" si="22"/>
        <v>0.73</v>
      </c>
      <c r="AT48" s="34">
        <v>2.5000000000000001E-2</v>
      </c>
      <c r="AU48" s="34">
        <f t="shared" si="23"/>
        <v>2.5000000000000001E-2</v>
      </c>
      <c r="AV48" s="126">
        <f t="shared" ca="1" si="55"/>
        <v>0.4767426851809714</v>
      </c>
      <c r="AW48" s="126">
        <f t="shared" ca="1" si="56"/>
        <v>91.535703124999998</v>
      </c>
      <c r="AX48" s="129">
        <f t="shared" ca="1" si="57"/>
        <v>2.9614492187499994</v>
      </c>
      <c r="AY48" s="1"/>
      <c r="AZ48" s="1"/>
      <c r="BA48" s="1"/>
      <c r="BB48" s="1"/>
      <c r="BC48" s="1"/>
      <c r="BD48" s="1"/>
      <c r="BE48" s="1"/>
      <c r="BF48" s="1"/>
      <c r="BG48" s="1"/>
      <c r="BH48" s="1"/>
      <c r="BI48" s="1"/>
    </row>
    <row r="49" spans="1:61">
      <c r="A49" s="108">
        <f t="shared" si="24"/>
        <v>2057</v>
      </c>
      <c r="B49" s="40">
        <f t="shared" si="16"/>
        <v>180.35879620818537</v>
      </c>
      <c r="C49" s="40">
        <f t="shared" si="29"/>
        <v>225.44849526023171</v>
      </c>
      <c r="D49" s="40">
        <f t="shared" si="30"/>
        <v>7.9570057150669964</v>
      </c>
      <c r="E49" s="40">
        <f t="shared" si="27"/>
        <v>0.73</v>
      </c>
      <c r="F49" s="34">
        <v>0.03</v>
      </c>
      <c r="G49" s="34">
        <f t="shared" si="41"/>
        <v>2.5000000000000001E-2</v>
      </c>
      <c r="H49" s="126">
        <f t="shared" ca="1" si="43"/>
        <v>0.39998714516107425</v>
      </c>
      <c r="I49" s="126">
        <f t="shared" ca="1" si="44"/>
        <v>90.176500000000061</v>
      </c>
      <c r="J49" s="129">
        <f t="shared" ca="1" si="45"/>
        <v>3.1827000000000001</v>
      </c>
      <c r="K49" s="1"/>
      <c r="L49" s="40">
        <f t="shared" si="31"/>
        <v>180.35879620818537</v>
      </c>
      <c r="M49" s="40">
        <f t="shared" si="32"/>
        <v>225.44849526023171</v>
      </c>
      <c r="N49" s="40">
        <f t="shared" si="33"/>
        <v>7.9570057150669964</v>
      </c>
      <c r="O49" s="40">
        <f t="shared" si="34"/>
        <v>0.73</v>
      </c>
      <c r="P49" s="34">
        <f t="shared" si="42"/>
        <v>3.5000000000000003E-2</v>
      </c>
      <c r="Q49" s="34">
        <f t="shared" si="17"/>
        <v>2.9750000000000002E-2</v>
      </c>
      <c r="R49" s="126">
        <f t="shared" ca="1" si="46"/>
        <v>0.34059296857422389</v>
      </c>
      <c r="S49" s="126">
        <f t="shared" ca="1" si="47"/>
        <v>76.78617226127416</v>
      </c>
      <c r="T49" s="129">
        <f t="shared" ca="1" si="48"/>
        <v>2.7101001974567334</v>
      </c>
      <c r="U49" s="1"/>
      <c r="V49" s="40">
        <f t="shared" si="35"/>
        <v>353.71336732090731</v>
      </c>
      <c r="W49" s="40">
        <f t="shared" si="36"/>
        <v>442.14170915113442</v>
      </c>
      <c r="X49" s="40">
        <f t="shared" si="37"/>
        <v>15.605001499451781</v>
      </c>
      <c r="Y49" s="40">
        <f t="shared" si="18"/>
        <v>0.73</v>
      </c>
      <c r="Z49" s="34">
        <v>2.5000000000000001E-2</v>
      </c>
      <c r="AA49" s="34">
        <f t="shared" si="19"/>
        <v>2.5000000000000001E-2</v>
      </c>
      <c r="AB49" s="126">
        <f t="shared" ca="1" si="49"/>
        <v>0.46511481481070382</v>
      </c>
      <c r="AC49" s="126">
        <f t="shared" ca="1" si="50"/>
        <v>205.64665917191795</v>
      </c>
      <c r="AD49" s="129">
        <f t="shared" ca="1" si="51"/>
        <v>7.2581173825382708</v>
      </c>
      <c r="AE49" s="1"/>
      <c r="AF49" s="40">
        <f t="shared" si="38"/>
        <v>134.00442088238961</v>
      </c>
      <c r="AG49" s="40">
        <f t="shared" si="39"/>
        <v>167.50552610298692</v>
      </c>
      <c r="AH49" s="40">
        <f t="shared" si="40"/>
        <v>5.9119597448112993</v>
      </c>
      <c r="AI49" s="40">
        <f t="shared" si="20"/>
        <v>0.73</v>
      </c>
      <c r="AJ49" s="34">
        <v>2.5000000000000001E-2</v>
      </c>
      <c r="AK49" s="34">
        <f t="shared" si="21"/>
        <v>2.5000000000000001E-2</v>
      </c>
      <c r="AL49" s="126">
        <f t="shared" ca="1" si="52"/>
        <v>0.46511481481070382</v>
      </c>
      <c r="AM49" s="126">
        <f t="shared" ca="1" si="53"/>
        <v>77.909301753160278</v>
      </c>
      <c r="AN49" s="129">
        <f t="shared" ca="1" si="54"/>
        <v>2.7497400618762433</v>
      </c>
      <c r="AO49" s="1"/>
      <c r="AP49" s="40">
        <f t="shared" si="28"/>
        <v>157.44190502683327</v>
      </c>
      <c r="AQ49" s="40">
        <f t="shared" si="25"/>
        <v>196.80238128354162</v>
      </c>
      <c r="AR49" s="40">
        <f t="shared" si="26"/>
        <v>6.3671358650557579</v>
      </c>
      <c r="AS49" s="40">
        <f t="shared" si="22"/>
        <v>0.73</v>
      </c>
      <c r="AT49" s="34">
        <v>2.5000000000000001E-2</v>
      </c>
      <c r="AU49" s="34">
        <f t="shared" si="23"/>
        <v>2.5000000000000001E-2</v>
      </c>
      <c r="AV49" s="126">
        <f t="shared" ca="1" si="55"/>
        <v>0.46511481481070382</v>
      </c>
      <c r="AW49" s="126">
        <f t="shared" ca="1" si="56"/>
        <v>91.535703124999984</v>
      </c>
      <c r="AX49" s="129">
        <f t="shared" ca="1" si="57"/>
        <v>2.9614492187499994</v>
      </c>
      <c r="AY49" s="1"/>
      <c r="AZ49" s="1"/>
      <c r="BA49" s="1"/>
      <c r="BB49" s="1"/>
      <c r="BC49" s="1"/>
      <c r="BD49" s="1"/>
      <c r="BE49" s="1"/>
      <c r="BF49" s="1"/>
      <c r="BG49" s="1"/>
      <c r="BH49" s="1"/>
      <c r="BI49" s="1"/>
    </row>
    <row r="50" spans="1:61">
      <c r="A50" s="108">
        <f t="shared" si="24"/>
        <v>2058</v>
      </c>
      <c r="B50" s="40">
        <f t="shared" si="16"/>
        <v>185.76956009443094</v>
      </c>
      <c r="C50" s="40">
        <f t="shared" si="29"/>
        <v>232.21195011803866</v>
      </c>
      <c r="D50" s="40">
        <f t="shared" si="30"/>
        <v>8.1957158865190056</v>
      </c>
      <c r="E50" s="40">
        <f t="shared" si="27"/>
        <v>0.73</v>
      </c>
      <c r="F50" s="34">
        <v>0.03</v>
      </c>
      <c r="G50" s="34">
        <f t="shared" si="41"/>
        <v>2.5000000000000001E-2</v>
      </c>
      <c r="H50" s="126">
        <f t="shared" ca="1" si="43"/>
        <v>0.3883370341369653</v>
      </c>
      <c r="I50" s="126">
        <f t="shared" ca="1" si="44"/>
        <v>90.176500000000061</v>
      </c>
      <c r="J50" s="129">
        <f t="shared" ca="1" si="45"/>
        <v>3.1827000000000001</v>
      </c>
      <c r="K50" s="1"/>
      <c r="L50" s="40">
        <f t="shared" si="31"/>
        <v>185.76956009443094</v>
      </c>
      <c r="M50" s="40">
        <f t="shared" si="32"/>
        <v>232.21195011803866</v>
      </c>
      <c r="N50" s="40">
        <f t="shared" si="33"/>
        <v>8.1957158865190056</v>
      </c>
      <c r="O50" s="40">
        <f t="shared" si="34"/>
        <v>0.73</v>
      </c>
      <c r="P50" s="34">
        <f t="shared" si="42"/>
        <v>3.5000000000000003E-2</v>
      </c>
      <c r="Q50" s="34">
        <f t="shared" si="17"/>
        <v>2.9750000000000002E-2</v>
      </c>
      <c r="R50" s="126">
        <f t="shared" ca="1" si="46"/>
        <v>0.32907533195577188</v>
      </c>
      <c r="S50" s="126">
        <f t="shared" ca="1" si="47"/>
        <v>76.415224569190713</v>
      </c>
      <c r="T50" s="129">
        <f t="shared" ca="1" si="48"/>
        <v>2.6970079259714348</v>
      </c>
      <c r="U50" s="1"/>
      <c r="V50" s="40">
        <f t="shared" si="35"/>
        <v>369.73553222678015</v>
      </c>
      <c r="W50" s="40">
        <f t="shared" si="36"/>
        <v>462.16941528347542</v>
      </c>
      <c r="X50" s="40">
        <f t="shared" si="37"/>
        <v>16.311861715887343</v>
      </c>
      <c r="Y50" s="40">
        <f t="shared" si="18"/>
        <v>0.73</v>
      </c>
      <c r="Z50" s="34">
        <v>2.5000000000000001E-2</v>
      </c>
      <c r="AA50" s="34">
        <f t="shared" si="19"/>
        <v>2.5000000000000001E-2</v>
      </c>
      <c r="AB50" s="126">
        <f t="shared" ca="1" si="49"/>
        <v>0.45377055103483305</v>
      </c>
      <c r="AC50" s="126">
        <f t="shared" ca="1" si="50"/>
        <v>209.71887024462924</v>
      </c>
      <c r="AD50" s="129">
        <f t="shared" ca="1" si="51"/>
        <v>7.4018424792221964</v>
      </c>
      <c r="AE50" s="1"/>
      <c r="AF50" s="40">
        <f t="shared" si="38"/>
        <v>137.40511845539933</v>
      </c>
      <c r="AG50" s="40">
        <f t="shared" si="39"/>
        <v>171.75639806924906</v>
      </c>
      <c r="AH50" s="40">
        <f t="shared" si="40"/>
        <v>6.0619905200911388</v>
      </c>
      <c r="AI50" s="40">
        <f t="shared" si="20"/>
        <v>0.73</v>
      </c>
      <c r="AJ50" s="34">
        <v>2.5000000000000001E-2</v>
      </c>
      <c r="AK50" s="34">
        <f t="shared" si="21"/>
        <v>2.5000000000000001E-2</v>
      </c>
      <c r="AL50" s="126">
        <f t="shared" ca="1" si="52"/>
        <v>0.45377055103483305</v>
      </c>
      <c r="AM50" s="126">
        <f t="shared" ca="1" si="53"/>
        <v>77.937995395641281</v>
      </c>
      <c r="AN50" s="129">
        <f t="shared" ca="1" si="54"/>
        <v>2.7507527786696904</v>
      </c>
      <c r="AO50" s="1"/>
      <c r="AP50" s="40">
        <f t="shared" si="28"/>
        <v>161.37795265250409</v>
      </c>
      <c r="AQ50" s="40">
        <f t="shared" si="25"/>
        <v>201.72244081563014</v>
      </c>
      <c r="AR50" s="40">
        <f t="shared" si="26"/>
        <v>6.5263142616821517</v>
      </c>
      <c r="AS50" s="40">
        <f t="shared" si="22"/>
        <v>0.73</v>
      </c>
      <c r="AT50" s="34">
        <v>2.5000000000000001E-2</v>
      </c>
      <c r="AU50" s="34">
        <f t="shared" si="23"/>
        <v>2.5000000000000001E-2</v>
      </c>
      <c r="AV50" s="126">
        <f t="shared" ca="1" si="55"/>
        <v>0.45377055103483305</v>
      </c>
      <c r="AW50" s="126">
        <f t="shared" ca="1" si="56"/>
        <v>91.535703124999984</v>
      </c>
      <c r="AX50" s="129">
        <f t="shared" ca="1" si="57"/>
        <v>2.9614492187499994</v>
      </c>
      <c r="AY50" s="1"/>
      <c r="AZ50" s="1"/>
      <c r="BA50" s="1"/>
      <c r="BB50" s="1"/>
      <c r="BC50" s="1"/>
      <c r="BD50" s="1"/>
      <c r="BE50" s="1"/>
      <c r="BF50" s="1"/>
      <c r="BG50" s="1"/>
      <c r="BH50" s="1"/>
      <c r="BI50" s="1"/>
    </row>
    <row r="51" spans="1:61">
      <c r="A51" s="108">
        <f t="shared" si="24"/>
        <v>2059</v>
      </c>
      <c r="B51" s="40">
        <f t="shared" si="16"/>
        <v>191.34264689726388</v>
      </c>
      <c r="C51" s="40">
        <f t="shared" si="29"/>
        <v>239.17830862157982</v>
      </c>
      <c r="D51" s="40">
        <f t="shared" si="30"/>
        <v>8.4415873631145768</v>
      </c>
      <c r="E51" s="40">
        <f t="shared" si="27"/>
        <v>0.73</v>
      </c>
      <c r="F51" s="34">
        <v>0.03</v>
      </c>
      <c r="G51" s="34">
        <f t="shared" si="41"/>
        <v>2.5000000000000001E-2</v>
      </c>
      <c r="H51" s="126">
        <f t="shared" ca="1" si="43"/>
        <v>0.37702624673491775</v>
      </c>
      <c r="I51" s="126">
        <f t="shared" ca="1" si="44"/>
        <v>90.176500000000061</v>
      </c>
      <c r="J51" s="129">
        <f t="shared" ca="1" si="45"/>
        <v>3.1827000000000001</v>
      </c>
      <c r="K51" s="1"/>
      <c r="L51" s="40">
        <f t="shared" si="31"/>
        <v>191.34264689726388</v>
      </c>
      <c r="M51" s="40">
        <f t="shared" si="32"/>
        <v>239.17830862157982</v>
      </c>
      <c r="N51" s="40">
        <f t="shared" si="33"/>
        <v>8.4415873631145768</v>
      </c>
      <c r="O51" s="40">
        <f t="shared" si="34"/>
        <v>0.73</v>
      </c>
      <c r="P51" s="34">
        <f t="shared" si="42"/>
        <v>3.5000000000000003E-2</v>
      </c>
      <c r="Q51" s="34">
        <f t="shared" si="17"/>
        <v>2.9750000000000002E-2</v>
      </c>
      <c r="R51" s="126">
        <f t="shared" ca="1" si="46"/>
        <v>0.31794718063359606</v>
      </c>
      <c r="S51" s="126">
        <f t="shared" ca="1" si="47"/>
        <v>76.046068894943417</v>
      </c>
      <c r="T51" s="129">
        <f t="shared" ca="1" si="48"/>
        <v>2.6839789021744722</v>
      </c>
      <c r="U51" s="1"/>
      <c r="V51" s="40">
        <f t="shared" si="35"/>
        <v>386.40068499641654</v>
      </c>
      <c r="W51" s="40">
        <f t="shared" si="36"/>
        <v>483.00085624552082</v>
      </c>
      <c r="X51" s="40">
        <f t="shared" si="37"/>
        <v>17.047089043959534</v>
      </c>
      <c r="Y51" s="40">
        <f t="shared" si="18"/>
        <v>0.73</v>
      </c>
      <c r="Z51" s="34">
        <v>2.5000000000000001E-2</v>
      </c>
      <c r="AA51" s="34">
        <f t="shared" si="19"/>
        <v>2.5000000000000001E-2</v>
      </c>
      <c r="AB51" s="126">
        <f t="shared" ca="1" si="49"/>
        <v>0.44270297661934938</v>
      </c>
      <c r="AC51" s="126">
        <f t="shared" ca="1" si="50"/>
        <v>213.82591676958654</v>
      </c>
      <c r="AD51" s="129">
        <f t="shared" ca="1" si="51"/>
        <v>7.546797062455985</v>
      </c>
      <c r="AE51" s="1"/>
      <c r="AF51" s="40">
        <f t="shared" si="38"/>
        <v>140.91712848140128</v>
      </c>
      <c r="AG51" s="40">
        <f t="shared" si="39"/>
        <v>176.14641060175148</v>
      </c>
      <c r="AH51" s="40">
        <f t="shared" si="40"/>
        <v>6.2169321388853431</v>
      </c>
      <c r="AI51" s="40">
        <f t="shared" si="20"/>
        <v>0.73</v>
      </c>
      <c r="AJ51" s="34">
        <v>2.5000000000000001E-2</v>
      </c>
      <c r="AK51" s="34">
        <f t="shared" si="21"/>
        <v>2.5000000000000001E-2</v>
      </c>
      <c r="AL51" s="126">
        <f t="shared" ca="1" si="52"/>
        <v>0.44270297661934938</v>
      </c>
      <c r="AM51" s="126">
        <f t="shared" ca="1" si="53"/>
        <v>77.980540294209504</v>
      </c>
      <c r="AN51" s="129">
        <f t="shared" ca="1" si="54"/>
        <v>2.7522543633250396</v>
      </c>
      <c r="AO51" s="1"/>
      <c r="AP51" s="40">
        <f t="shared" si="28"/>
        <v>165.41240146881668</v>
      </c>
      <c r="AQ51" s="40">
        <f t="shared" si="25"/>
        <v>206.76550183602086</v>
      </c>
      <c r="AR51" s="40">
        <f t="shared" si="26"/>
        <v>6.689472118224205</v>
      </c>
      <c r="AS51" s="40">
        <f t="shared" si="22"/>
        <v>0.73</v>
      </c>
      <c r="AT51" s="34">
        <v>2.5000000000000001E-2</v>
      </c>
      <c r="AU51" s="34">
        <f t="shared" si="23"/>
        <v>2.5000000000000001E-2</v>
      </c>
      <c r="AV51" s="126">
        <f t="shared" ca="1" si="55"/>
        <v>0.44270297661934938</v>
      </c>
      <c r="AW51" s="126">
        <f t="shared" ca="1" si="56"/>
        <v>91.535703124999984</v>
      </c>
      <c r="AX51" s="129">
        <f t="shared" ca="1" si="57"/>
        <v>2.9614492187499999</v>
      </c>
      <c r="AY51" s="1"/>
      <c r="AZ51" s="1"/>
      <c r="BA51" s="1"/>
      <c r="BB51" s="1"/>
      <c r="BC51" s="1"/>
      <c r="BD51" s="1"/>
      <c r="BE51" s="1"/>
      <c r="BF51" s="1"/>
      <c r="BG51" s="1"/>
      <c r="BH51" s="1"/>
      <c r="BI51" s="1"/>
    </row>
    <row r="52" spans="1:61">
      <c r="A52" s="108">
        <f t="shared" si="24"/>
        <v>2060</v>
      </c>
      <c r="B52" s="40">
        <f t="shared" si="16"/>
        <v>197.0829263041818</v>
      </c>
      <c r="C52" s="40">
        <f t="shared" si="29"/>
        <v>246.35365788022722</v>
      </c>
      <c r="D52" s="40">
        <f t="shared" si="30"/>
        <v>8.6948349840080148</v>
      </c>
      <c r="E52" s="40">
        <f t="shared" si="27"/>
        <v>0.73</v>
      </c>
      <c r="F52" s="34">
        <v>0.03</v>
      </c>
      <c r="G52" s="34">
        <f t="shared" si="41"/>
        <v>2.5000000000000001E-2</v>
      </c>
      <c r="H52" s="126">
        <f t="shared" ca="1" si="43"/>
        <v>0.3660448997426386</v>
      </c>
      <c r="I52" s="126">
        <f t="shared" ca="1" si="44"/>
        <v>90.176500000000061</v>
      </c>
      <c r="J52" s="129">
        <f t="shared" ca="1" si="45"/>
        <v>3.1827000000000005</v>
      </c>
      <c r="K52" s="1"/>
      <c r="L52" s="40">
        <f t="shared" si="31"/>
        <v>197.0829263041818</v>
      </c>
      <c r="M52" s="40">
        <f t="shared" si="32"/>
        <v>246.35365788022722</v>
      </c>
      <c r="N52" s="40">
        <f t="shared" si="33"/>
        <v>8.6948349840080148</v>
      </c>
      <c r="O52" s="40">
        <f t="shared" si="34"/>
        <v>0.73</v>
      </c>
      <c r="P52" s="34">
        <f t="shared" si="42"/>
        <v>3.5000000000000003E-2</v>
      </c>
      <c r="Q52" s="34">
        <f t="shared" si="17"/>
        <v>2.9750000000000002E-2</v>
      </c>
      <c r="R52" s="126">
        <f t="shared" ca="1" si="46"/>
        <v>0.30719534360733919</v>
      </c>
      <c r="S52" s="126">
        <f t="shared" ca="1" si="47"/>
        <v>75.678696581441287</v>
      </c>
      <c r="T52" s="129">
        <f t="shared" ca="1" si="48"/>
        <v>2.6710128205214558</v>
      </c>
      <c r="U52" s="1"/>
      <c r="V52" s="40">
        <f t="shared" si="35"/>
        <v>403.73298495322695</v>
      </c>
      <c r="W52" s="40">
        <f t="shared" si="36"/>
        <v>504.66623119153383</v>
      </c>
      <c r="X52" s="40">
        <f t="shared" si="37"/>
        <v>17.811749336171758</v>
      </c>
      <c r="Y52" s="40">
        <f t="shared" si="18"/>
        <v>0.73</v>
      </c>
      <c r="Z52" s="34">
        <v>2.5000000000000001E-2</v>
      </c>
      <c r="AA52" s="34">
        <f t="shared" si="19"/>
        <v>2.5000000000000001E-2</v>
      </c>
      <c r="AB52" s="126">
        <f t="shared" ca="1" si="49"/>
        <v>0.43190534304326772</v>
      </c>
      <c r="AC52" s="126">
        <f t="shared" ca="1" si="50"/>
        <v>217.96804170513246</v>
      </c>
      <c r="AD52" s="129">
        <f t="shared" ca="1" si="51"/>
        <v>7.6929897072399589</v>
      </c>
      <c r="AE52" s="1"/>
      <c r="AF52" s="40">
        <f t="shared" si="38"/>
        <v>144.54365096109817</v>
      </c>
      <c r="AG52" s="40">
        <f t="shared" si="39"/>
        <v>180.67956370137262</v>
      </c>
      <c r="AH52" s="40">
        <f t="shared" si="40"/>
        <v>6.3769257776955008</v>
      </c>
      <c r="AI52" s="40">
        <f t="shared" si="20"/>
        <v>0.73</v>
      </c>
      <c r="AJ52" s="34">
        <v>2.5000000000000001E-2</v>
      </c>
      <c r="AK52" s="34">
        <f t="shared" si="21"/>
        <v>2.5000000000000001E-2</v>
      </c>
      <c r="AL52" s="126">
        <f t="shared" ca="1" si="52"/>
        <v>0.43190534304326772</v>
      </c>
      <c r="AM52" s="126">
        <f t="shared" ca="1" si="53"/>
        <v>78.036468941349284</v>
      </c>
      <c r="AN52" s="129">
        <f t="shared" ca="1" si="54"/>
        <v>2.754228315577032</v>
      </c>
      <c r="AO52" s="1"/>
      <c r="AP52" s="40">
        <f t="shared" si="28"/>
        <v>169.54771150553708</v>
      </c>
      <c r="AQ52" s="40">
        <f t="shared" si="25"/>
        <v>211.93463938192136</v>
      </c>
      <c r="AR52" s="40">
        <f t="shared" si="26"/>
        <v>6.8567089211798091</v>
      </c>
      <c r="AS52" s="40">
        <f t="shared" si="22"/>
        <v>0.73</v>
      </c>
      <c r="AT52" s="34">
        <v>2.5000000000000001E-2</v>
      </c>
      <c r="AU52" s="34">
        <f t="shared" si="23"/>
        <v>2.5000000000000001E-2</v>
      </c>
      <c r="AV52" s="126">
        <f t="shared" ca="1" si="55"/>
        <v>0.43190534304326772</v>
      </c>
      <c r="AW52" s="126">
        <f t="shared" ca="1" si="56"/>
        <v>91.535703124999984</v>
      </c>
      <c r="AX52" s="129">
        <f t="shared" ca="1" si="57"/>
        <v>2.9614492187499994</v>
      </c>
      <c r="AY52" s="1"/>
      <c r="AZ52" s="1"/>
      <c r="BA52" s="1"/>
      <c r="BB52" s="1"/>
      <c r="BC52" s="1"/>
      <c r="BD52" s="1"/>
      <c r="BE52" s="1"/>
      <c r="BF52" s="1"/>
      <c r="BG52" s="1"/>
      <c r="BH52" s="1"/>
      <c r="BI52" s="1"/>
    </row>
    <row r="53" spans="1:61">
      <c r="A53" s="108">
        <f t="shared" si="24"/>
        <v>2061</v>
      </c>
      <c r="B53" s="40">
        <f t="shared" si="16"/>
        <v>202.99541409330723</v>
      </c>
      <c r="C53" s="40">
        <f t="shared" si="29"/>
        <v>253.74426761663403</v>
      </c>
      <c r="D53" s="40">
        <f t="shared" si="30"/>
        <v>8.9556800335282549</v>
      </c>
      <c r="E53" s="40">
        <f t="shared" si="27"/>
        <v>0.73</v>
      </c>
      <c r="F53" s="34">
        <v>0.03</v>
      </c>
      <c r="G53" s="34">
        <f t="shared" si="41"/>
        <v>2.5000000000000001E-2</v>
      </c>
      <c r="H53" s="126">
        <f t="shared" ca="1" si="43"/>
        <v>0.35538339780838696</v>
      </c>
      <c r="I53" s="126">
        <f t="shared" ca="1" si="44"/>
        <v>90.176500000000047</v>
      </c>
      <c r="J53" s="129">
        <f t="shared" ca="1" si="45"/>
        <v>3.1827000000000001</v>
      </c>
      <c r="K53" s="1"/>
      <c r="L53" s="40">
        <f t="shared" si="31"/>
        <v>202.99541409330723</v>
      </c>
      <c r="M53" s="40">
        <f t="shared" si="32"/>
        <v>253.74426761663403</v>
      </c>
      <c r="N53" s="40">
        <f t="shared" si="33"/>
        <v>8.9556800335282549</v>
      </c>
      <c r="O53" s="40">
        <f t="shared" si="34"/>
        <v>0.73</v>
      </c>
      <c r="P53" s="34">
        <f t="shared" si="42"/>
        <v>3.5000000000000003E-2</v>
      </c>
      <c r="Q53" s="34">
        <f t="shared" si="17"/>
        <v>2.9750000000000002E-2</v>
      </c>
      <c r="R53" s="126">
        <f t="shared" ca="1" si="46"/>
        <v>0.29680709527279153</v>
      </c>
      <c r="S53" s="126">
        <f t="shared" ca="1" si="47"/>
        <v>75.313099013415012</v>
      </c>
      <c r="T53" s="129">
        <f t="shared" ca="1" si="48"/>
        <v>2.6581093769440578</v>
      </c>
      <c r="U53" s="1"/>
      <c r="V53" s="40">
        <f t="shared" si="35"/>
        <v>421.75746229094921</v>
      </c>
      <c r="W53" s="40">
        <f t="shared" si="36"/>
        <v>527.19682786368662</v>
      </c>
      <c r="X53" s="40">
        <f t="shared" si="37"/>
        <v>18.606946865777154</v>
      </c>
      <c r="Y53" s="40">
        <f t="shared" si="18"/>
        <v>0.73</v>
      </c>
      <c r="Z53" s="34">
        <v>2.5000000000000001E-2</v>
      </c>
      <c r="AA53" s="34">
        <f t="shared" si="19"/>
        <v>2.5000000000000001E-2</v>
      </c>
      <c r="AB53" s="126">
        <f t="shared" ca="1" si="49"/>
        <v>0.42137106638367589</v>
      </c>
      <c r="AC53" s="126">
        <f t="shared" ca="1" si="50"/>
        <v>222.14548955101284</v>
      </c>
      <c r="AD53" s="129">
        <f t="shared" ca="1" si="51"/>
        <v>7.8404290429769148</v>
      </c>
      <c r="AE53" s="1"/>
      <c r="AF53" s="40">
        <f t="shared" si="38"/>
        <v>148.28798398580713</v>
      </c>
      <c r="AG53" s="40">
        <f t="shared" si="39"/>
        <v>185.35997998225884</v>
      </c>
      <c r="AH53" s="40">
        <f t="shared" si="40"/>
        <v>6.5421169405503088</v>
      </c>
      <c r="AI53" s="40">
        <f t="shared" si="20"/>
        <v>0.73</v>
      </c>
      <c r="AJ53" s="34">
        <v>2.5000000000000001E-2</v>
      </c>
      <c r="AK53" s="34">
        <f t="shared" si="21"/>
        <v>2.5000000000000001E-2</v>
      </c>
      <c r="AL53" s="126">
        <f t="shared" ca="1" si="52"/>
        <v>0.42137106638367589</v>
      </c>
      <c r="AM53" s="126">
        <f t="shared" ca="1" si="53"/>
        <v>78.105332429981218</v>
      </c>
      <c r="AN53" s="129">
        <f t="shared" ca="1" si="54"/>
        <v>2.7566587916463949</v>
      </c>
      <c r="AO53" s="1"/>
      <c r="AP53" s="40">
        <f t="shared" si="28"/>
        <v>173.78640429317548</v>
      </c>
      <c r="AQ53" s="40">
        <f t="shared" si="25"/>
        <v>217.23300536646937</v>
      </c>
      <c r="AR53" s="40">
        <f t="shared" si="26"/>
        <v>7.028126644209304</v>
      </c>
      <c r="AS53" s="40">
        <f t="shared" si="22"/>
        <v>0.73</v>
      </c>
      <c r="AT53" s="34">
        <v>2.5000000000000001E-2</v>
      </c>
      <c r="AU53" s="34">
        <f t="shared" si="23"/>
        <v>2.5000000000000001E-2</v>
      </c>
      <c r="AV53" s="126">
        <f t="shared" ca="1" si="55"/>
        <v>0.42137106638367589</v>
      </c>
      <c r="AW53" s="126">
        <f t="shared" ca="1" si="56"/>
        <v>91.535703124999984</v>
      </c>
      <c r="AX53" s="129">
        <f t="shared" ca="1" si="57"/>
        <v>2.9614492187499999</v>
      </c>
      <c r="AY53" s="1"/>
      <c r="AZ53" s="1"/>
      <c r="BA53" s="1"/>
      <c r="BB53" s="1"/>
      <c r="BC53" s="1"/>
      <c r="BD53" s="1"/>
      <c r="BE53" s="1"/>
      <c r="BF53" s="1"/>
      <c r="BG53" s="1"/>
      <c r="BH53" s="1"/>
      <c r="BI53" s="1"/>
    </row>
    <row r="54" spans="1:61">
      <c r="A54" s="108">
        <f t="shared" si="24"/>
        <v>2062</v>
      </c>
      <c r="B54" s="40">
        <f t="shared" si="16"/>
        <v>209.08527651610643</v>
      </c>
      <c r="C54" s="40">
        <f t="shared" si="29"/>
        <v>261.35659564513304</v>
      </c>
      <c r="D54" s="40">
        <f t="shared" si="30"/>
        <v>9.2243504345341023</v>
      </c>
      <c r="E54" s="40">
        <f t="shared" si="27"/>
        <v>0.73</v>
      </c>
      <c r="F54" s="34">
        <v>0.03</v>
      </c>
      <c r="G54" s="34">
        <f t="shared" si="41"/>
        <v>2.5000000000000001E-2</v>
      </c>
      <c r="H54" s="126">
        <f t="shared" ca="1" si="43"/>
        <v>0.34503242505668635</v>
      </c>
      <c r="I54" s="126">
        <f t="shared" ca="1" si="44"/>
        <v>90.176500000000047</v>
      </c>
      <c r="J54" s="129">
        <f t="shared" ca="1" si="45"/>
        <v>3.1826999999999996</v>
      </c>
      <c r="K54" s="1"/>
      <c r="L54" s="40">
        <f t="shared" si="31"/>
        <v>209.08527651610643</v>
      </c>
      <c r="M54" s="40">
        <f t="shared" si="32"/>
        <v>261.35659564513304</v>
      </c>
      <c r="N54" s="40">
        <f t="shared" si="33"/>
        <v>9.2243504345341023</v>
      </c>
      <c r="O54" s="40">
        <f t="shared" si="34"/>
        <v>0.73</v>
      </c>
      <c r="P54" s="34">
        <f t="shared" si="42"/>
        <v>3.5000000000000003E-2</v>
      </c>
      <c r="Q54" s="34">
        <f t="shared" si="17"/>
        <v>2.9750000000000002E-2</v>
      </c>
      <c r="R54" s="126">
        <f t="shared" ca="1" si="46"/>
        <v>0.28677014036018506</v>
      </c>
      <c r="S54" s="126">
        <f t="shared" ca="1" si="47"/>
        <v>74.949267617214929</v>
      </c>
      <c r="T54" s="129">
        <f t="shared" ca="1" si="48"/>
        <v>2.6452682688428784</v>
      </c>
      <c r="U54" s="1"/>
      <c r="V54" s="40">
        <f t="shared" si="35"/>
        <v>440.50004858247689</v>
      </c>
      <c r="W54" s="40">
        <f t="shared" si="36"/>
        <v>550.62506072809629</v>
      </c>
      <c r="X54" s="40">
        <f t="shared" si="37"/>
        <v>19.433825672756313</v>
      </c>
      <c r="Y54" s="40">
        <f t="shared" si="18"/>
        <v>0.73</v>
      </c>
      <c r="Z54" s="34">
        <v>2.5000000000000001E-2</v>
      </c>
      <c r="AA54" s="34">
        <f t="shared" si="19"/>
        <v>2.5000000000000001E-2</v>
      </c>
      <c r="AB54" s="126">
        <f t="shared" ca="1" si="49"/>
        <v>0.41109372330114724</v>
      </c>
      <c r="AC54" s="126">
        <f t="shared" ca="1" si="50"/>
        <v>226.35850635763342</v>
      </c>
      <c r="AD54" s="129">
        <f t="shared" ca="1" si="51"/>
        <v>7.9891237537988156</v>
      </c>
      <c r="AE54" s="1"/>
      <c r="AF54" s="40">
        <f t="shared" si="38"/>
        <v>152.15352664881922</v>
      </c>
      <c r="AG54" s="40">
        <f t="shared" si="39"/>
        <v>190.19190831102395</v>
      </c>
      <c r="AH54" s="40">
        <f t="shared" si="40"/>
        <v>6.7126555874479017</v>
      </c>
      <c r="AI54" s="40">
        <f t="shared" si="20"/>
        <v>0.73</v>
      </c>
      <c r="AJ54" s="34">
        <v>2.5000000000000001E-2</v>
      </c>
      <c r="AK54" s="34">
        <f t="shared" si="21"/>
        <v>2.5000000000000001E-2</v>
      </c>
      <c r="AL54" s="126">
        <f t="shared" ca="1" si="52"/>
        <v>0.41109372330114724</v>
      </c>
      <c r="AM54" s="126">
        <f t="shared" ca="1" si="53"/>
        <v>78.186699729329248</v>
      </c>
      <c r="AN54" s="129">
        <f t="shared" ca="1" si="54"/>
        <v>2.7595305786822077</v>
      </c>
      <c r="AO54" s="1"/>
      <c r="AP54" s="40">
        <f t="shared" si="28"/>
        <v>178.13106440050484</v>
      </c>
      <c r="AQ54" s="40">
        <f t="shared" si="25"/>
        <v>222.66383050063109</v>
      </c>
      <c r="AR54" s="40">
        <f t="shared" si="26"/>
        <v>7.2038298103145362</v>
      </c>
      <c r="AS54" s="40">
        <f t="shared" si="22"/>
        <v>0.73</v>
      </c>
      <c r="AT54" s="34">
        <v>2.5000000000000001E-2</v>
      </c>
      <c r="AU54" s="34">
        <f t="shared" si="23"/>
        <v>2.5000000000000001E-2</v>
      </c>
      <c r="AV54" s="126">
        <f t="shared" ca="1" si="55"/>
        <v>0.41109372330114724</v>
      </c>
      <c r="AW54" s="126">
        <f t="shared" ca="1" si="56"/>
        <v>91.535703124999984</v>
      </c>
      <c r="AX54" s="129">
        <f t="shared" ca="1" si="57"/>
        <v>2.9614492187499999</v>
      </c>
      <c r="AY54" s="1"/>
      <c r="AZ54" s="1"/>
      <c r="BA54" s="1"/>
      <c r="BB54" s="1"/>
      <c r="BC54" s="1"/>
      <c r="BD54" s="1"/>
      <c r="BE54" s="1"/>
      <c r="BF54" s="1"/>
      <c r="BG54" s="1"/>
      <c r="BH54" s="1"/>
      <c r="BI54" s="1"/>
    </row>
    <row r="55" spans="1:61">
      <c r="A55" s="108">
        <f t="shared" si="24"/>
        <v>2063</v>
      </c>
      <c r="B55" s="40">
        <f t="shared" si="16"/>
        <v>215.35783481158967</v>
      </c>
      <c r="C55" s="40">
        <f t="shared" si="29"/>
        <v>269.19729351448706</v>
      </c>
      <c r="D55" s="40">
        <f t="shared" si="30"/>
        <v>9.5010809475701254</v>
      </c>
      <c r="E55" s="40">
        <f t="shared" si="27"/>
        <v>0.73</v>
      </c>
      <c r="F55" s="34">
        <v>0.03</v>
      </c>
      <c r="G55" s="34">
        <f t="shared" si="41"/>
        <v>2.5000000000000001E-2</v>
      </c>
      <c r="H55" s="126">
        <f t="shared" ca="1" si="43"/>
        <v>0.33498293694823916</v>
      </c>
      <c r="I55" s="126">
        <f t="shared" ca="1" si="44"/>
        <v>90.176500000000047</v>
      </c>
      <c r="J55" s="129">
        <f t="shared" ca="1" si="45"/>
        <v>3.1826999999999996</v>
      </c>
      <c r="K55" s="1"/>
      <c r="L55" s="40">
        <f t="shared" si="31"/>
        <v>215.35783481158967</v>
      </c>
      <c r="M55" s="40">
        <f t="shared" si="32"/>
        <v>269.19729351448706</v>
      </c>
      <c r="N55" s="40">
        <f t="shared" si="33"/>
        <v>9.5010809475701254</v>
      </c>
      <c r="O55" s="40">
        <f t="shared" si="34"/>
        <v>0.73</v>
      </c>
      <c r="P55" s="34">
        <f t="shared" si="42"/>
        <v>3.5000000000000003E-2</v>
      </c>
      <c r="Q55" s="34">
        <f t="shared" si="17"/>
        <v>2.9750000000000002E-2</v>
      </c>
      <c r="R55" s="126">
        <f t="shared" ca="1" si="46"/>
        <v>0.27707259938182133</v>
      </c>
      <c r="S55" s="126">
        <f t="shared" ca="1" si="47"/>
        <v>74.587193860610043</v>
      </c>
      <c r="T55" s="129">
        <f t="shared" ca="1" si="48"/>
        <v>2.6324891950803528</v>
      </c>
      <c r="U55" s="1"/>
      <c r="V55" s="40">
        <f t="shared" si="35"/>
        <v>459.98760833543446</v>
      </c>
      <c r="W55" s="40">
        <f t="shared" si="36"/>
        <v>574.9845104192932</v>
      </c>
      <c r="X55" s="40">
        <f t="shared" si="37"/>
        <v>20.293570955975028</v>
      </c>
      <c r="Y55" s="40">
        <f t="shared" si="18"/>
        <v>0.73</v>
      </c>
      <c r="Z55" s="34">
        <v>2.5000000000000001E-2</v>
      </c>
      <c r="AA55" s="34">
        <f t="shared" si="19"/>
        <v>2.5000000000000001E-2</v>
      </c>
      <c r="AB55" s="126">
        <f t="shared" ca="1" si="49"/>
        <v>0.40106704712307051</v>
      </c>
      <c r="AC55" s="126">
        <f t="shared" ca="1" si="50"/>
        <v>230.60733973537029</v>
      </c>
      <c r="AD55" s="129">
        <f t="shared" ca="1" si="51"/>
        <v>8.1390825788954118</v>
      </c>
      <c r="AE55" s="1"/>
      <c r="AF55" s="40">
        <f t="shared" si="38"/>
        <v>156.14378204457017</v>
      </c>
      <c r="AG55" s="40">
        <f t="shared" si="39"/>
        <v>195.17972755571262</v>
      </c>
      <c r="AH55" s="40">
        <f t="shared" si="40"/>
        <v>6.8886962666722065</v>
      </c>
      <c r="AI55" s="40">
        <f t="shared" si="20"/>
        <v>0.73</v>
      </c>
      <c r="AJ55" s="34">
        <v>2.5000000000000001E-2</v>
      </c>
      <c r="AK55" s="34">
        <f t="shared" si="21"/>
        <v>2.5000000000000001E-2</v>
      </c>
      <c r="AL55" s="126">
        <f t="shared" ca="1" si="52"/>
        <v>0.40106704712307051</v>
      </c>
      <c r="AM55" s="126">
        <f t="shared" ca="1" si="53"/>
        <v>78.280156989055058</v>
      </c>
      <c r="AN55" s="129">
        <f t="shared" ca="1" si="54"/>
        <v>2.7628290702019416</v>
      </c>
      <c r="AO55" s="1"/>
      <c r="AP55" s="40">
        <f t="shared" si="28"/>
        <v>182.58434101051745</v>
      </c>
      <c r="AQ55" s="40">
        <f t="shared" si="25"/>
        <v>228.23042626314685</v>
      </c>
      <c r="AR55" s="40">
        <f t="shared" si="26"/>
        <v>7.3839255555723993</v>
      </c>
      <c r="AS55" s="40">
        <f t="shared" si="22"/>
        <v>0.73</v>
      </c>
      <c r="AT55" s="34">
        <v>2.5000000000000001E-2</v>
      </c>
      <c r="AU55" s="34">
        <f t="shared" si="23"/>
        <v>2.5000000000000001E-2</v>
      </c>
      <c r="AV55" s="126">
        <f t="shared" ca="1" si="55"/>
        <v>0.40106704712307051</v>
      </c>
      <c r="AW55" s="126">
        <f t="shared" ca="1" si="56"/>
        <v>91.535703124999984</v>
      </c>
      <c r="AX55" s="129">
        <f t="shared" ca="1" si="57"/>
        <v>2.9614492187499999</v>
      </c>
      <c r="AY55" s="1"/>
      <c r="AZ55" s="1"/>
      <c r="BA55" s="1"/>
      <c r="BB55" s="1"/>
      <c r="BC55" s="1"/>
      <c r="BD55" s="1"/>
      <c r="BE55" s="1"/>
      <c r="BF55" s="1"/>
      <c r="BG55" s="1"/>
      <c r="BH55" s="1"/>
      <c r="BI55" s="1"/>
    </row>
    <row r="56" spans="1:61">
      <c r="A56" s="108">
        <f t="shared" si="24"/>
        <v>2064</v>
      </c>
      <c r="B56" s="40">
        <f t="shared" si="16"/>
        <v>221.81856985593737</v>
      </c>
      <c r="C56" s="40">
        <f t="shared" si="29"/>
        <v>277.2732123199217</v>
      </c>
      <c r="D56" s="40">
        <f t="shared" si="30"/>
        <v>9.7861133759972301</v>
      </c>
      <c r="E56" s="40">
        <f t="shared" si="27"/>
        <v>0.73</v>
      </c>
      <c r="F56" s="34">
        <v>0.03</v>
      </c>
      <c r="G56" s="34">
        <f t="shared" si="41"/>
        <v>2.5000000000000001E-2</v>
      </c>
      <c r="H56" s="126">
        <f t="shared" ca="1" si="43"/>
        <v>0.3252261523769312</v>
      </c>
      <c r="I56" s="126">
        <f t="shared" ca="1" si="44"/>
        <v>90.176500000000047</v>
      </c>
      <c r="J56" s="129">
        <f t="shared" ca="1" si="45"/>
        <v>3.1826999999999996</v>
      </c>
      <c r="K56" s="1"/>
      <c r="L56" s="40">
        <f t="shared" si="31"/>
        <v>221.81856985593737</v>
      </c>
      <c r="M56" s="40">
        <f t="shared" si="32"/>
        <v>277.2732123199217</v>
      </c>
      <c r="N56" s="40">
        <f t="shared" si="33"/>
        <v>9.7861133759972301</v>
      </c>
      <c r="O56" s="40">
        <f t="shared" si="34"/>
        <v>0.73</v>
      </c>
      <c r="P56" s="34">
        <f t="shared" si="42"/>
        <v>3.5000000000000003E-2</v>
      </c>
      <c r="Q56" s="34">
        <f t="shared" si="17"/>
        <v>2.9750000000000002E-2</v>
      </c>
      <c r="R56" s="126">
        <f t="shared" ca="1" si="46"/>
        <v>0.26770299457180807</v>
      </c>
      <c r="S56" s="126">
        <f t="shared" ca="1" si="47"/>
        <v>74.22686925258779</v>
      </c>
      <c r="T56" s="129">
        <f t="shared" ca="1" si="48"/>
        <v>2.6197718559736849</v>
      </c>
      <c r="U56" s="1"/>
      <c r="V56" s="40">
        <f t="shared" si="35"/>
        <v>480.24797162984521</v>
      </c>
      <c r="W56" s="40">
        <f t="shared" si="36"/>
        <v>600.30996453730666</v>
      </c>
      <c r="X56" s="40">
        <f t="shared" si="37"/>
        <v>21.187410513081385</v>
      </c>
      <c r="Y56" s="40">
        <f t="shared" si="18"/>
        <v>0.73</v>
      </c>
      <c r="Z56" s="34">
        <v>2.5000000000000001E-2</v>
      </c>
      <c r="AA56" s="34">
        <f t="shared" si="19"/>
        <v>2.5000000000000001E-2</v>
      </c>
      <c r="AB56" s="126">
        <f t="shared" ca="1" si="49"/>
        <v>0.39128492402250786</v>
      </c>
      <c r="AC56" s="126">
        <f t="shared" ca="1" si="50"/>
        <v>234.89223886393444</v>
      </c>
      <c r="AD56" s="129">
        <f t="shared" ca="1" si="51"/>
        <v>8.2903143128447336</v>
      </c>
      <c r="AE56" s="1"/>
      <c r="AF56" s="40">
        <f t="shared" si="38"/>
        <v>160.26236035824931</v>
      </c>
      <c r="AG56" s="40">
        <f t="shared" si="39"/>
        <v>200.32795044781156</v>
      </c>
      <c r="AH56" s="40">
        <f t="shared" si="40"/>
        <v>7.0703982510992276</v>
      </c>
      <c r="AI56" s="40">
        <f t="shared" si="20"/>
        <v>0.73</v>
      </c>
      <c r="AJ56" s="34">
        <v>2.5000000000000001E-2</v>
      </c>
      <c r="AK56" s="34">
        <f t="shared" si="21"/>
        <v>2.5000000000000001E-2</v>
      </c>
      <c r="AL56" s="126">
        <f t="shared" ca="1" si="52"/>
        <v>0.39128492402250786</v>
      </c>
      <c r="AM56" s="126">
        <f t="shared" ca="1" si="53"/>
        <v>78.385306870556661</v>
      </c>
      <c r="AN56" s="129">
        <f t="shared" ca="1" si="54"/>
        <v>2.7665402424902337</v>
      </c>
      <c r="AO56" s="1"/>
      <c r="AP56" s="40">
        <f t="shared" si="28"/>
        <v>187.14894953578036</v>
      </c>
      <c r="AQ56" s="40">
        <f t="shared" si="25"/>
        <v>233.93618691972551</v>
      </c>
      <c r="AR56" s="40">
        <f t="shared" si="26"/>
        <v>7.5685236944617085</v>
      </c>
      <c r="AS56" s="40">
        <f t="shared" si="22"/>
        <v>0.73</v>
      </c>
      <c r="AT56" s="34">
        <v>2.5000000000000001E-2</v>
      </c>
      <c r="AU56" s="34">
        <f t="shared" si="23"/>
        <v>2.5000000000000001E-2</v>
      </c>
      <c r="AV56" s="126">
        <f t="shared" ca="1" si="55"/>
        <v>0.39128492402250786</v>
      </c>
      <c r="AW56" s="126">
        <f t="shared" ca="1" si="56"/>
        <v>91.535703124999998</v>
      </c>
      <c r="AX56" s="129">
        <f t="shared" ca="1" si="57"/>
        <v>2.9614492187500003</v>
      </c>
      <c r="AY56" s="1"/>
      <c r="AZ56" s="1"/>
      <c r="BA56" s="1"/>
      <c r="BB56" s="1"/>
      <c r="BC56" s="1"/>
      <c r="BD56" s="1"/>
      <c r="BE56" s="1"/>
      <c r="BF56" s="1"/>
      <c r="BG56" s="1"/>
      <c r="BH56" s="1"/>
      <c r="BI56" s="1"/>
    </row>
    <row r="57" spans="1:61">
      <c r="A57" s="108">
        <f t="shared" si="24"/>
        <v>2065</v>
      </c>
      <c r="B57" s="40">
        <f t="shared" si="16"/>
        <v>228.47312695161551</v>
      </c>
      <c r="C57" s="40">
        <f t="shared" si="29"/>
        <v>285.59140868951937</v>
      </c>
      <c r="D57" s="40">
        <f t="shared" si="30"/>
        <v>10.079696777277148</v>
      </c>
      <c r="E57" s="40">
        <f t="shared" si="27"/>
        <v>0.73</v>
      </c>
      <c r="F57" s="34">
        <v>0.03</v>
      </c>
      <c r="G57" s="34">
        <f t="shared" si="41"/>
        <v>2.5000000000000001E-2</v>
      </c>
      <c r="H57" s="126">
        <f t="shared" ca="1" si="43"/>
        <v>0.31575354599702055</v>
      </c>
      <c r="I57" s="126">
        <f t="shared" ca="1" si="44"/>
        <v>90.176500000000047</v>
      </c>
      <c r="J57" s="129">
        <f t="shared" ca="1" si="45"/>
        <v>3.1826999999999996</v>
      </c>
      <c r="K57" s="1"/>
      <c r="L57" s="40">
        <f t="shared" si="31"/>
        <v>228.47312695161551</v>
      </c>
      <c r="M57" s="40">
        <f t="shared" si="32"/>
        <v>285.59140868951937</v>
      </c>
      <c r="N57" s="40">
        <f t="shared" si="33"/>
        <v>10.079696777277148</v>
      </c>
      <c r="O57" s="40">
        <f t="shared" si="34"/>
        <v>0.73</v>
      </c>
      <c r="P57" s="34">
        <f t="shared" si="42"/>
        <v>3.5000000000000003E-2</v>
      </c>
      <c r="Q57" s="34">
        <f t="shared" si="17"/>
        <v>2.9750000000000002E-2</v>
      </c>
      <c r="R57" s="126">
        <f t="shared" ca="1" si="46"/>
        <v>0.25865023630126388</v>
      </c>
      <c r="S57" s="126">
        <f t="shared" ca="1" si="47"/>
        <v>73.868285343155009</v>
      </c>
      <c r="T57" s="129">
        <f t="shared" ca="1" si="48"/>
        <v>2.6071159532878223</v>
      </c>
      <c r="U57" s="1"/>
      <c r="V57" s="40">
        <f t="shared" si="35"/>
        <v>501.3099678744187</v>
      </c>
      <c r="W57" s="40">
        <f t="shared" si="36"/>
        <v>626.63745984302352</v>
      </c>
      <c r="X57" s="40">
        <f t="shared" si="37"/>
        <v>22.116616229753745</v>
      </c>
      <c r="Y57" s="40">
        <f t="shared" si="18"/>
        <v>0.73</v>
      </c>
      <c r="Z57" s="34">
        <v>2.5000000000000001E-2</v>
      </c>
      <c r="AA57" s="34">
        <f t="shared" si="19"/>
        <v>2.5000000000000001E-2</v>
      </c>
      <c r="AB57" s="126">
        <f t="shared" ca="1" si="49"/>
        <v>0.38174138929025159</v>
      </c>
      <c r="AC57" s="126">
        <f t="shared" ca="1" si="50"/>
        <v>239.21345450179004</v>
      </c>
      <c r="AD57" s="129">
        <f t="shared" ca="1" si="51"/>
        <v>8.4428278059455213</v>
      </c>
      <c r="AE57" s="1"/>
      <c r="AF57" s="40">
        <f t="shared" si="38"/>
        <v>164.51298204855371</v>
      </c>
      <c r="AG57" s="40">
        <f t="shared" si="39"/>
        <v>205.64122756069204</v>
      </c>
      <c r="AH57" s="40">
        <f t="shared" si="40"/>
        <v>7.2579256786126569</v>
      </c>
      <c r="AI57" s="40">
        <f t="shared" si="20"/>
        <v>0.73</v>
      </c>
      <c r="AJ57" s="34">
        <v>2.5000000000000001E-2</v>
      </c>
      <c r="AK57" s="34">
        <f t="shared" si="21"/>
        <v>2.5000000000000001E-2</v>
      </c>
      <c r="AL57" s="126">
        <f t="shared" ca="1" si="52"/>
        <v>0.38174138929025159</v>
      </c>
      <c r="AM57" s="126">
        <f t="shared" ca="1" si="53"/>
        <v>78.501767904371349</v>
      </c>
      <c r="AN57" s="129">
        <f t="shared" ca="1" si="54"/>
        <v>2.7706506319189876</v>
      </c>
      <c r="AO57" s="1"/>
      <c r="AP57" s="40">
        <f t="shared" si="28"/>
        <v>191.82767327417486</v>
      </c>
      <c r="AQ57" s="40">
        <f t="shared" si="25"/>
        <v>239.78459159271864</v>
      </c>
      <c r="AR57" s="40">
        <f t="shared" si="26"/>
        <v>7.7577367868232505</v>
      </c>
      <c r="AS57" s="40">
        <f t="shared" si="22"/>
        <v>0.73</v>
      </c>
      <c r="AT57" s="34">
        <v>2.5000000000000001E-2</v>
      </c>
      <c r="AU57" s="34">
        <f t="shared" si="23"/>
        <v>2.5000000000000001E-2</v>
      </c>
      <c r="AV57" s="126">
        <f t="shared" ca="1" si="55"/>
        <v>0.38174138929025159</v>
      </c>
      <c r="AW57" s="126">
        <f t="shared" ca="1" si="56"/>
        <v>91.535703124999998</v>
      </c>
      <c r="AX57" s="129">
        <f t="shared" ca="1" si="57"/>
        <v>2.9614492187499999</v>
      </c>
      <c r="AY57" s="1"/>
      <c r="AZ57" s="1"/>
      <c r="BA57" s="1"/>
      <c r="BB57" s="1"/>
      <c r="BC57" s="1"/>
      <c r="BD57" s="1"/>
      <c r="BE57" s="1"/>
      <c r="BF57" s="1"/>
      <c r="BG57" s="1"/>
      <c r="BH57" s="1"/>
      <c r="BI57" s="1"/>
    </row>
    <row r="58" spans="1:61">
      <c r="A58" s="108">
        <f t="shared" si="24"/>
        <v>2066</v>
      </c>
      <c r="B58" s="40">
        <f t="shared" si="16"/>
        <v>235.32732076016396</v>
      </c>
      <c r="C58" s="40">
        <f t="shared" si="29"/>
        <v>294.15915095020495</v>
      </c>
      <c r="D58" s="40">
        <f t="shared" si="30"/>
        <v>10.382087680595463</v>
      </c>
      <c r="E58" s="40">
        <f t="shared" si="27"/>
        <v>0.73</v>
      </c>
      <c r="F58" s="34">
        <v>0.03</v>
      </c>
      <c r="G58" s="34">
        <f t="shared" si="41"/>
        <v>2.5000000000000001E-2</v>
      </c>
      <c r="H58" s="126">
        <f t="shared" ca="1" si="43"/>
        <v>0.30655684077380635</v>
      </c>
      <c r="I58" s="126">
        <f t="shared" ca="1" si="44"/>
        <v>90.176500000000047</v>
      </c>
      <c r="J58" s="129">
        <f t="shared" ca="1" si="45"/>
        <v>3.1826999999999996</v>
      </c>
      <c r="K58" s="1"/>
      <c r="L58" s="40">
        <f t="shared" si="31"/>
        <v>235.32732076016396</v>
      </c>
      <c r="M58" s="40">
        <f t="shared" si="32"/>
        <v>294.15915095020495</v>
      </c>
      <c r="N58" s="40">
        <f t="shared" si="33"/>
        <v>10.382087680595463</v>
      </c>
      <c r="O58" s="40">
        <f t="shared" si="34"/>
        <v>0.73</v>
      </c>
      <c r="P58" s="34">
        <f t="shared" si="42"/>
        <v>3.5000000000000003E-2</v>
      </c>
      <c r="Q58" s="34">
        <f t="shared" si="17"/>
        <v>2.9750000000000002E-2</v>
      </c>
      <c r="R58" s="126">
        <f t="shared" ca="1" si="46"/>
        <v>0.24990360995291197</v>
      </c>
      <c r="S58" s="126">
        <f t="shared" ca="1" si="47"/>
        <v>73.511433723139774</v>
      </c>
      <c r="T58" s="129">
        <f t="shared" ca="1" si="48"/>
        <v>2.5945211902284613</v>
      </c>
      <c r="U58" s="1"/>
      <c r="V58" s="40">
        <f t="shared" si="35"/>
        <v>523.20346071919971</v>
      </c>
      <c r="W58" s="40">
        <f t="shared" si="36"/>
        <v>654.00432589899981</v>
      </c>
      <c r="X58" s="40">
        <f t="shared" si="37"/>
        <v>23.082505619964675</v>
      </c>
      <c r="Y58" s="40">
        <f t="shared" si="18"/>
        <v>0.73</v>
      </c>
      <c r="Z58" s="34">
        <v>2.5000000000000001E-2</v>
      </c>
      <c r="AA58" s="34">
        <f t="shared" si="19"/>
        <v>2.5000000000000001E-2</v>
      </c>
      <c r="AB58" s="126">
        <f t="shared" ca="1" si="49"/>
        <v>0.37243062369780644</v>
      </c>
      <c r="AC58" s="126">
        <f t="shared" ca="1" si="50"/>
        <v>243.57123899562797</v>
      </c>
      <c r="AD58" s="129">
        <f t="shared" ca="1" si="51"/>
        <v>8.5966319645515661</v>
      </c>
      <c r="AE58" s="1"/>
      <c r="AF58" s="40">
        <f t="shared" si="38"/>
        <v>168.89948112637384</v>
      </c>
      <c r="AG58" s="40">
        <f t="shared" si="39"/>
        <v>211.12435140796723</v>
      </c>
      <c r="AH58" s="40">
        <f t="shared" si="40"/>
        <v>7.4514476967517824</v>
      </c>
      <c r="AI58" s="40">
        <f t="shared" si="20"/>
        <v>0.73</v>
      </c>
      <c r="AJ58" s="34">
        <v>2.5000000000000001E-2</v>
      </c>
      <c r="AK58" s="34">
        <f t="shared" si="21"/>
        <v>2.5000000000000001E-2</v>
      </c>
      <c r="AL58" s="126">
        <f t="shared" ca="1" si="52"/>
        <v>0.37243062369780644</v>
      </c>
      <c r="AM58" s="126">
        <f t="shared" ca="1" si="53"/>
        <v>78.629173872664097</v>
      </c>
      <c r="AN58" s="129">
        <f t="shared" ca="1" si="54"/>
        <v>2.7751473131528495</v>
      </c>
      <c r="AO58" s="1"/>
      <c r="AP58" s="40">
        <f t="shared" si="28"/>
        <v>196.62336510602921</v>
      </c>
      <c r="AQ58" s="40">
        <f t="shared" si="25"/>
        <v>245.77920638253659</v>
      </c>
      <c r="AR58" s="40">
        <f t="shared" si="26"/>
        <v>7.9516802064938314</v>
      </c>
      <c r="AS58" s="40">
        <f t="shared" si="22"/>
        <v>0.73</v>
      </c>
      <c r="AT58" s="34">
        <v>2.5000000000000001E-2</v>
      </c>
      <c r="AU58" s="34">
        <f t="shared" si="23"/>
        <v>2.5000000000000001E-2</v>
      </c>
      <c r="AV58" s="126">
        <f t="shared" ca="1" si="55"/>
        <v>0.37243062369780644</v>
      </c>
      <c r="AW58" s="126">
        <f t="shared" ca="1" si="56"/>
        <v>91.535703124999984</v>
      </c>
      <c r="AX58" s="129">
        <f t="shared" ca="1" si="57"/>
        <v>2.9614492187499999</v>
      </c>
      <c r="AY58" s="1"/>
      <c r="AZ58" s="1"/>
      <c r="BA58" s="1"/>
      <c r="BB58" s="1"/>
      <c r="BC58" s="1"/>
      <c r="BD58" s="1"/>
      <c r="BE58" s="1"/>
      <c r="BF58" s="1"/>
      <c r="BG58" s="1"/>
      <c r="BH58" s="1"/>
      <c r="BI58" s="1"/>
    </row>
    <row r="59" spans="1:61">
      <c r="A59" s="108">
        <f t="shared" si="24"/>
        <v>2067</v>
      </c>
      <c r="B59" s="40">
        <f t="shared" si="16"/>
        <v>242.38714038296891</v>
      </c>
      <c r="C59" s="40">
        <f t="shared" si="29"/>
        <v>302.98392547871111</v>
      </c>
      <c r="D59" s="40">
        <f t="shared" si="30"/>
        <v>10.693550311013327</v>
      </c>
      <c r="E59" s="40">
        <f t="shared" si="27"/>
        <v>0.73</v>
      </c>
      <c r="F59" s="34">
        <v>0.03</v>
      </c>
      <c r="G59" s="34">
        <f t="shared" si="41"/>
        <v>2.5000000000000001E-2</v>
      </c>
      <c r="H59" s="126">
        <f t="shared" ca="1" si="43"/>
        <v>0.29762800075126827</v>
      </c>
      <c r="I59" s="126">
        <f t="shared" ca="1" si="44"/>
        <v>90.176500000000047</v>
      </c>
      <c r="J59" s="129">
        <f t="shared" ca="1" si="45"/>
        <v>3.1826999999999996</v>
      </c>
      <c r="K59" s="1"/>
      <c r="L59" s="40">
        <f t="shared" si="31"/>
        <v>242.38714038296891</v>
      </c>
      <c r="M59" s="40">
        <f t="shared" si="32"/>
        <v>302.98392547871111</v>
      </c>
      <c r="N59" s="40">
        <f t="shared" si="33"/>
        <v>10.693550311013327</v>
      </c>
      <c r="O59" s="40">
        <f t="shared" si="34"/>
        <v>0.73</v>
      </c>
      <c r="P59" s="34">
        <f t="shared" si="42"/>
        <v>3.5000000000000003E-2</v>
      </c>
      <c r="Q59" s="34">
        <f t="shared" si="17"/>
        <v>2.9750000000000002E-2</v>
      </c>
      <c r="R59" s="126">
        <f t="shared" ca="1" si="46"/>
        <v>0.2414527632395285</v>
      </c>
      <c r="S59" s="126">
        <f t="shared" ca="1" si="47"/>
        <v>73.156306023994176</v>
      </c>
      <c r="T59" s="129">
        <f t="shared" ca="1" si="48"/>
        <v>2.5819872714350871</v>
      </c>
      <c r="U59" s="1"/>
      <c r="V59" s="40">
        <f t="shared" si="35"/>
        <v>545.95938416358069</v>
      </c>
      <c r="W59" s="40">
        <f t="shared" si="36"/>
        <v>682.44923020447595</v>
      </c>
      <c r="X59" s="40">
        <f t="shared" si="37"/>
        <v>24.086443418981478</v>
      </c>
      <c r="Y59" s="40">
        <f t="shared" si="18"/>
        <v>0.73</v>
      </c>
      <c r="Z59" s="34">
        <v>2.5000000000000001E-2</v>
      </c>
      <c r="AA59" s="34">
        <f t="shared" si="19"/>
        <v>2.5000000000000001E-2</v>
      </c>
      <c r="AB59" s="126">
        <f t="shared" ca="1" si="49"/>
        <v>0.36334694994907951</v>
      </c>
      <c r="AC59" s="126">
        <f t="shared" ca="1" si="50"/>
        <v>247.96584628989356</v>
      </c>
      <c r="AD59" s="129">
        <f t="shared" ca="1" si="51"/>
        <v>8.751735751407999</v>
      </c>
      <c r="AE59" s="1"/>
      <c r="AF59" s="40">
        <f t="shared" si="38"/>
        <v>173.42580853228318</v>
      </c>
      <c r="AG59" s="40">
        <f t="shared" si="39"/>
        <v>216.78226066535387</v>
      </c>
      <c r="AH59" s="40">
        <f t="shared" si="40"/>
        <v>7.6511386117183697</v>
      </c>
      <c r="AI59" s="40">
        <f t="shared" si="20"/>
        <v>0.73</v>
      </c>
      <c r="AJ59" s="34">
        <v>2.5000000000000001E-2</v>
      </c>
      <c r="AK59" s="34">
        <f t="shared" si="21"/>
        <v>2.5000000000000001E-2</v>
      </c>
      <c r="AL59" s="126">
        <f t="shared" ca="1" si="52"/>
        <v>0.36334694994907951</v>
      </c>
      <c r="AM59" s="126">
        <f t="shared" ca="1" si="53"/>
        <v>78.767173215822638</v>
      </c>
      <c r="AN59" s="129">
        <f t="shared" ca="1" si="54"/>
        <v>2.7800178782055043</v>
      </c>
      <c r="AO59" s="1"/>
      <c r="AP59" s="40">
        <f t="shared" si="28"/>
        <v>201.53894923367992</v>
      </c>
      <c r="AQ59" s="40">
        <f t="shared" si="25"/>
        <v>251.92368654209997</v>
      </c>
      <c r="AR59" s="40">
        <f t="shared" si="26"/>
        <v>8.1504722116561759</v>
      </c>
      <c r="AS59" s="40">
        <f t="shared" si="22"/>
        <v>0.73</v>
      </c>
      <c r="AT59" s="34">
        <v>2.5000000000000001E-2</v>
      </c>
      <c r="AU59" s="34">
        <f t="shared" si="23"/>
        <v>2.5000000000000001E-2</v>
      </c>
      <c r="AV59" s="126">
        <f t="shared" ca="1" si="55"/>
        <v>0.36334694994907951</v>
      </c>
      <c r="AW59" s="126">
        <f t="shared" ca="1" si="56"/>
        <v>91.535703124999998</v>
      </c>
      <c r="AX59" s="129">
        <f t="shared" ca="1" si="57"/>
        <v>2.9614492187499999</v>
      </c>
      <c r="AY59" s="1"/>
      <c r="AZ59" s="1"/>
      <c r="BA59" s="1"/>
      <c r="BB59" s="1"/>
      <c r="BC59" s="1"/>
      <c r="BD59" s="1"/>
      <c r="BE59" s="1"/>
      <c r="BF59" s="1"/>
      <c r="BG59" s="1"/>
      <c r="BH59" s="1"/>
      <c r="BI59" s="1"/>
    </row>
    <row r="60" spans="1:61">
      <c r="A60" s="108">
        <f t="shared" si="24"/>
        <v>2068</v>
      </c>
      <c r="B60" s="40">
        <f t="shared" si="16"/>
        <v>249.65875459445797</v>
      </c>
      <c r="C60" s="40">
        <f t="shared" si="29"/>
        <v>312.07344324307246</v>
      </c>
      <c r="D60" s="40">
        <f t="shared" si="30"/>
        <v>11.014356820343727</v>
      </c>
      <c r="E60" s="40">
        <f t="shared" si="27"/>
        <v>0.73</v>
      </c>
      <c r="F60" s="34">
        <v>0.03</v>
      </c>
      <c r="G60" s="34">
        <f t="shared" si="41"/>
        <v>2.5000000000000001E-2</v>
      </c>
      <c r="H60" s="126">
        <f t="shared" ca="1" si="43"/>
        <v>0.28895922403035756</v>
      </c>
      <c r="I60" s="126">
        <f t="shared" ca="1" si="44"/>
        <v>90.176500000000047</v>
      </c>
      <c r="J60" s="129">
        <f t="shared" ca="1" si="45"/>
        <v>3.1826999999999996</v>
      </c>
      <c r="K60" s="1"/>
      <c r="L60" s="40">
        <f t="shared" si="31"/>
        <v>249.65875459445797</v>
      </c>
      <c r="M60" s="40">
        <f t="shared" si="32"/>
        <v>312.07344324307246</v>
      </c>
      <c r="N60" s="40">
        <f t="shared" si="33"/>
        <v>11.014356820343727</v>
      </c>
      <c r="O60" s="40">
        <f t="shared" si="34"/>
        <v>0.73</v>
      </c>
      <c r="P60" s="34">
        <f t="shared" si="42"/>
        <v>3.5000000000000003E-2</v>
      </c>
      <c r="Q60" s="34">
        <f t="shared" si="17"/>
        <v>2.9750000000000002E-2</v>
      </c>
      <c r="R60" s="126">
        <f t="shared" ca="1" si="46"/>
        <v>0.23328769395123528</v>
      </c>
      <c r="S60" s="126">
        <f t="shared" ca="1" si="47"/>
        <v>72.802893917598084</v>
      </c>
      <c r="T60" s="129">
        <f t="shared" ca="1" si="48"/>
        <v>2.5695139029740481</v>
      </c>
      <c r="U60" s="1"/>
      <c r="V60" s="40">
        <f t="shared" si="35"/>
        <v>569.60977989997718</v>
      </c>
      <c r="W60" s="40">
        <f t="shared" si="36"/>
        <v>712.01222487497171</v>
      </c>
      <c r="X60" s="40">
        <f t="shared" si="37"/>
        <v>25.129843230881324</v>
      </c>
      <c r="Y60" s="40">
        <f t="shared" si="18"/>
        <v>0.73</v>
      </c>
      <c r="Z60" s="34">
        <v>2.5000000000000001E-2</v>
      </c>
      <c r="AA60" s="34">
        <f t="shared" si="19"/>
        <v>2.5000000000000001E-2</v>
      </c>
      <c r="AB60" s="126">
        <f t="shared" ca="1" si="49"/>
        <v>0.35448482921861418</v>
      </c>
      <c r="AC60" s="126">
        <f t="shared" ca="1" si="50"/>
        <v>252.39753193636986</v>
      </c>
      <c r="AD60" s="129">
        <f t="shared" ca="1" si="51"/>
        <v>8.9081481859895142</v>
      </c>
      <c r="AE60" s="1"/>
      <c r="AF60" s="40">
        <f t="shared" si="38"/>
        <v>178.096035615788</v>
      </c>
      <c r="AG60" s="40">
        <f t="shared" si="39"/>
        <v>222.6200445197349</v>
      </c>
      <c r="AH60" s="40">
        <f t="shared" si="40"/>
        <v>7.8571780418729933</v>
      </c>
      <c r="AI60" s="40">
        <f t="shared" si="20"/>
        <v>0.73</v>
      </c>
      <c r="AJ60" s="34">
        <v>2.5000000000000001E-2</v>
      </c>
      <c r="AK60" s="34">
        <f t="shared" si="21"/>
        <v>2.5000000000000001E-2</v>
      </c>
      <c r="AL60" s="126">
        <f t="shared" ca="1" si="52"/>
        <v>0.35448482921861418</v>
      </c>
      <c r="AM60" s="126">
        <f t="shared" ca="1" si="53"/>
        <v>78.915428462218514</v>
      </c>
      <c r="AN60" s="129">
        <f t="shared" ca="1" si="54"/>
        <v>2.7852504163135934</v>
      </c>
      <c r="AO60" s="1"/>
      <c r="AP60" s="40">
        <f t="shared" si="28"/>
        <v>206.5774229645219</v>
      </c>
      <c r="AQ60" s="40">
        <f t="shared" si="25"/>
        <v>258.22177870565247</v>
      </c>
      <c r="AR60" s="40">
        <f t="shared" si="26"/>
        <v>8.3542340169475793</v>
      </c>
      <c r="AS60" s="40">
        <f t="shared" si="22"/>
        <v>0.73</v>
      </c>
      <c r="AT60" s="34">
        <v>2.5000000000000001E-2</v>
      </c>
      <c r="AU60" s="34">
        <f t="shared" si="23"/>
        <v>2.5000000000000001E-2</v>
      </c>
      <c r="AV60" s="126">
        <f t="shared" ca="1" si="55"/>
        <v>0.35448482921861418</v>
      </c>
      <c r="AW60" s="126">
        <f t="shared" ca="1" si="56"/>
        <v>91.535703124999998</v>
      </c>
      <c r="AX60" s="129">
        <f t="shared" ca="1" si="57"/>
        <v>2.9614492187499999</v>
      </c>
      <c r="AY60" s="1"/>
      <c r="AZ60" s="1"/>
      <c r="BA60" s="1"/>
      <c r="BB60" s="1"/>
      <c r="BC60" s="1"/>
      <c r="BD60" s="1"/>
      <c r="BE60" s="1"/>
      <c r="BF60" s="1"/>
      <c r="BG60" s="1"/>
      <c r="BH60" s="1"/>
      <c r="BI60" s="1"/>
    </row>
    <row r="61" spans="1:61">
      <c r="A61" s="505">
        <f t="shared" si="24"/>
        <v>2069</v>
      </c>
      <c r="B61" s="40">
        <f t="shared" si="16"/>
        <v>257.14851723229174</v>
      </c>
      <c r="C61" s="40">
        <f t="shared" si="29"/>
        <v>321.43564654036464</v>
      </c>
      <c r="D61" s="40">
        <f t="shared" si="30"/>
        <v>11.344787524954038</v>
      </c>
      <c r="E61" s="40">
        <f t="shared" si="27"/>
        <v>0.73</v>
      </c>
      <c r="F61" s="34">
        <v>0.03</v>
      </c>
      <c r="G61" s="34">
        <f t="shared" si="41"/>
        <v>2.5000000000000001E-2</v>
      </c>
      <c r="H61" s="126">
        <f t="shared" ca="1" si="43"/>
        <v>0.28054293595180346</v>
      </c>
      <c r="I61" s="126">
        <f t="shared" ca="1" si="44"/>
        <v>90.176500000000061</v>
      </c>
      <c r="J61" s="129">
        <f t="shared" ca="1" si="45"/>
        <v>3.1826999999999996</v>
      </c>
      <c r="K61" s="1"/>
      <c r="L61" s="40">
        <f t="shared" si="31"/>
        <v>257.14851723229174</v>
      </c>
      <c r="M61" s="40">
        <f t="shared" si="32"/>
        <v>321.43564654036464</v>
      </c>
      <c r="N61" s="40">
        <f t="shared" si="33"/>
        <v>11.344787524954038</v>
      </c>
      <c r="O61" s="40">
        <f t="shared" si="34"/>
        <v>0.73</v>
      </c>
      <c r="P61" s="34">
        <f t="shared" si="42"/>
        <v>3.5000000000000003E-2</v>
      </c>
      <c r="Q61" s="34">
        <f t="shared" si="17"/>
        <v>2.9750000000000002E-2</v>
      </c>
      <c r="R61" s="126">
        <f t="shared" ca="1" si="46"/>
        <v>0.22539873811713554</v>
      </c>
      <c r="S61" s="126">
        <f t="shared" ca="1" si="47"/>
        <v>72.451189116063787</v>
      </c>
      <c r="T61" s="129">
        <f t="shared" ca="1" si="48"/>
        <v>2.5571007923316613</v>
      </c>
      <c r="U61" s="1"/>
      <c r="V61" s="40">
        <f t="shared" si="35"/>
        <v>594.18783593481032</v>
      </c>
      <c r="W61" s="40">
        <f t="shared" si="36"/>
        <v>742.73479491851299</v>
      </c>
      <c r="X61" s="40">
        <f t="shared" si="37"/>
        <v>26.214169232418076</v>
      </c>
      <c r="Y61" s="40">
        <f t="shared" ref="Y61:Y85" si="58">O61</f>
        <v>0.73</v>
      </c>
      <c r="Z61" s="34">
        <v>2.5000000000000001E-2</v>
      </c>
      <c r="AA61" s="34">
        <f t="shared" si="19"/>
        <v>2.5000000000000001E-2</v>
      </c>
      <c r="AB61" s="126">
        <f t="shared" ca="1" si="49"/>
        <v>0.34583885777425777</v>
      </c>
      <c r="AC61" s="126">
        <f t="shared" ca="1" si="50"/>
        <v>256.8665531038161</v>
      </c>
      <c r="AD61" s="129">
        <f t="shared" ca="1" si="51"/>
        <v>9.0658783448405593</v>
      </c>
      <c r="AE61" s="1"/>
      <c r="AF61" s="40">
        <f t="shared" si="38"/>
        <v>182.91435771938495</v>
      </c>
      <c r="AG61" s="40">
        <f t="shared" si="39"/>
        <v>228.64294714923105</v>
      </c>
      <c r="AH61" s="40">
        <f t="shared" si="40"/>
        <v>8.0697510758552085</v>
      </c>
      <c r="AI61" s="40">
        <f t="shared" ref="AI61:AI85" si="59">E61</f>
        <v>0.73</v>
      </c>
      <c r="AJ61" s="34">
        <v>2.5000000000000001E-2</v>
      </c>
      <c r="AK61" s="34">
        <f t="shared" si="21"/>
        <v>2.5000000000000001E-2</v>
      </c>
      <c r="AL61" s="126">
        <f t="shared" ca="1" si="52"/>
        <v>0.34583885777425777</v>
      </c>
      <c r="AM61" s="126">
        <f t="shared" ca="1" si="53"/>
        <v>79.073615680230048</v>
      </c>
      <c r="AN61" s="129">
        <f t="shared" ca="1" si="54"/>
        <v>2.7908334945963529</v>
      </c>
      <c r="AO61" s="1"/>
      <c r="AP61" s="40">
        <f t="shared" ref="AP61:AP79" si="60">AP60*(1+$AT61)</f>
        <v>211.74185853863494</v>
      </c>
      <c r="AQ61" s="40">
        <f t="shared" si="25"/>
        <v>264.67732317329376</v>
      </c>
      <c r="AR61" s="40">
        <f t="shared" si="26"/>
        <v>8.5630898673712679</v>
      </c>
      <c r="AS61" s="40">
        <f t="shared" ref="AS61:AS85" si="61">E61</f>
        <v>0.73</v>
      </c>
      <c r="AT61" s="34">
        <v>2.5000000000000001E-2</v>
      </c>
      <c r="AU61" s="34">
        <f t="shared" si="23"/>
        <v>2.5000000000000001E-2</v>
      </c>
      <c r="AV61" s="126">
        <f t="shared" ca="1" si="55"/>
        <v>0.34583885777425777</v>
      </c>
      <c r="AW61" s="126">
        <f t="shared" ca="1" si="56"/>
        <v>91.535703124999998</v>
      </c>
      <c r="AX61" s="129">
        <f t="shared" ca="1" si="57"/>
        <v>2.9614492187499999</v>
      </c>
      <c r="AY61" s="1"/>
      <c r="AZ61" s="1"/>
      <c r="BA61" s="1"/>
      <c r="BB61" s="1"/>
      <c r="BC61" s="1"/>
      <c r="BD61" s="1"/>
      <c r="BE61" s="1"/>
      <c r="BF61" s="1"/>
      <c r="BG61" s="1"/>
      <c r="BH61" s="1"/>
      <c r="BI61" s="1"/>
    </row>
    <row r="62" spans="1:61">
      <c r="A62" s="505">
        <f t="shared" si="24"/>
        <v>2070</v>
      </c>
      <c r="B62" s="40">
        <f t="shared" si="16"/>
        <v>264.86297274926045</v>
      </c>
      <c r="C62" s="40">
        <f t="shared" si="29"/>
        <v>331.07871593657558</v>
      </c>
      <c r="D62" s="40">
        <f t="shared" si="30"/>
        <v>11.685131150702659</v>
      </c>
      <c r="E62" s="40">
        <f t="shared" si="27"/>
        <v>0.73</v>
      </c>
      <c r="F62" s="34">
        <v>0.03</v>
      </c>
      <c r="G62" s="34">
        <f t="shared" si="41"/>
        <v>2.5000000000000001E-2</v>
      </c>
      <c r="H62" s="126">
        <f t="shared" ca="1" si="43"/>
        <v>0.27237178247747906</v>
      </c>
      <c r="I62" s="126">
        <f t="shared" ca="1" si="44"/>
        <v>90.176500000000047</v>
      </c>
      <c r="J62" s="129">
        <f t="shared" ca="1" si="45"/>
        <v>3.1826999999999992</v>
      </c>
      <c r="K62" s="1"/>
      <c r="L62" s="40">
        <f t="shared" si="31"/>
        <v>264.86297274926045</v>
      </c>
      <c r="M62" s="40">
        <f t="shared" si="32"/>
        <v>331.07871593657558</v>
      </c>
      <c r="N62" s="40">
        <f t="shared" si="33"/>
        <v>11.685131150702659</v>
      </c>
      <c r="O62" s="40">
        <f t="shared" si="34"/>
        <v>0.73</v>
      </c>
      <c r="P62" s="34">
        <f t="shared" si="42"/>
        <v>3.5000000000000003E-2</v>
      </c>
      <c r="Q62" s="34">
        <f t="shared" si="17"/>
        <v>2.9750000000000002E-2</v>
      </c>
      <c r="R62" s="126">
        <f t="shared" ca="1" si="46"/>
        <v>0.21777655856728073</v>
      </c>
      <c r="S62" s="126">
        <f t="shared" ca="1" si="47"/>
        <v>72.101183371541751</v>
      </c>
      <c r="T62" s="129">
        <f t="shared" ca="1" si="48"/>
        <v>2.5447476484073541</v>
      </c>
      <c r="U62" s="1"/>
      <c r="V62" s="40">
        <f t="shared" si="35"/>
        <v>619.72792652982343</v>
      </c>
      <c r="W62" s="40">
        <f t="shared" si="36"/>
        <v>774.65990816227941</v>
      </c>
      <c r="X62" s="40">
        <f t="shared" si="37"/>
        <v>27.340937935139237</v>
      </c>
      <c r="Y62" s="40">
        <f t="shared" si="58"/>
        <v>0.73</v>
      </c>
      <c r="Z62" s="34">
        <v>2.5000000000000001E-2</v>
      </c>
      <c r="AA62" s="34">
        <f t="shared" si="19"/>
        <v>2.5000000000000001E-2</v>
      </c>
      <c r="AB62" s="126">
        <f t="shared" ca="1" si="49"/>
        <v>0.33740376368220271</v>
      </c>
      <c r="AC62" s="126">
        <f t="shared" ca="1" si="50"/>
        <v>261.37316858766258</v>
      </c>
      <c r="AD62" s="129">
        <f t="shared" ca="1" si="51"/>
        <v>9.2249353619174901</v>
      </c>
      <c r="AE62" s="1"/>
      <c r="AF62" s="40">
        <f t="shared" si="38"/>
        <v>187.8850978705629</v>
      </c>
      <c r="AG62" s="40">
        <f t="shared" si="39"/>
        <v>234.8563723382035</v>
      </c>
      <c r="AH62" s="40">
        <f t="shared" si="40"/>
        <v>8.2890484354660021</v>
      </c>
      <c r="AI62" s="40">
        <f t="shared" si="59"/>
        <v>0.73</v>
      </c>
      <c r="AJ62" s="34">
        <v>2.5000000000000001E-2</v>
      </c>
      <c r="AK62" s="34">
        <f t="shared" si="21"/>
        <v>2.5000000000000001E-2</v>
      </c>
      <c r="AL62" s="126">
        <f t="shared" ca="1" si="52"/>
        <v>0.33740376368220271</v>
      </c>
      <c r="AM62" s="126">
        <f t="shared" ca="1" si="53"/>
        <v>79.241423951658618</v>
      </c>
      <c r="AN62" s="129">
        <f t="shared" ca="1" si="54"/>
        <v>2.7967561394703031</v>
      </c>
      <c r="AO62" s="1"/>
      <c r="AP62" s="40">
        <f t="shared" si="60"/>
        <v>217.03540500210079</v>
      </c>
      <c r="AQ62" s="40">
        <f t="shared" si="25"/>
        <v>271.2942562526261</v>
      </c>
      <c r="AR62" s="40">
        <f t="shared" si="26"/>
        <v>8.7771671140555494</v>
      </c>
      <c r="AS62" s="40">
        <f t="shared" si="61"/>
        <v>0.73</v>
      </c>
      <c r="AT62" s="34">
        <v>2.5000000000000001E-2</v>
      </c>
      <c r="AU62" s="34">
        <f t="shared" si="23"/>
        <v>2.5000000000000001E-2</v>
      </c>
      <c r="AV62" s="126">
        <f t="shared" ca="1" si="55"/>
        <v>0.33740376368220271</v>
      </c>
      <c r="AW62" s="126">
        <f t="shared" ca="1" si="56"/>
        <v>91.535703124999998</v>
      </c>
      <c r="AX62" s="129">
        <f t="shared" ca="1" si="57"/>
        <v>2.9614492187499999</v>
      </c>
      <c r="AY62" s="1"/>
      <c r="AZ62" s="1"/>
      <c r="BA62" s="1"/>
      <c r="BB62" s="1"/>
      <c r="BC62" s="1"/>
      <c r="BD62" s="1"/>
      <c r="BE62" s="1"/>
      <c r="BF62" s="1"/>
      <c r="BG62" s="1"/>
      <c r="BH62" s="1"/>
      <c r="BI62" s="1"/>
    </row>
    <row r="63" spans="1:61">
      <c r="A63" s="505">
        <f t="shared" si="24"/>
        <v>2071</v>
      </c>
      <c r="B63" s="40">
        <f t="shared" si="16"/>
        <v>272.80886193173831</v>
      </c>
      <c r="C63" s="40">
        <f t="shared" si="29"/>
        <v>341.01107741467285</v>
      </c>
      <c r="D63" s="40">
        <f t="shared" si="30"/>
        <v>12.03568508522374</v>
      </c>
      <c r="E63" s="40">
        <f t="shared" si="27"/>
        <v>0.73</v>
      </c>
      <c r="F63" s="34">
        <v>0.03</v>
      </c>
      <c r="G63" s="34">
        <f t="shared" si="41"/>
        <v>2.5000000000000001E-2</v>
      </c>
      <c r="H63" s="126">
        <f t="shared" ca="1" si="43"/>
        <v>0.26443862376454275</v>
      </c>
      <c r="I63" s="126">
        <f t="shared" ca="1" si="44"/>
        <v>90.176500000000033</v>
      </c>
      <c r="J63" s="129">
        <f t="shared" ca="1" si="45"/>
        <v>3.1826999999999992</v>
      </c>
      <c r="K63" s="1"/>
      <c r="L63" s="40">
        <f t="shared" si="31"/>
        <v>272.80886193173831</v>
      </c>
      <c r="M63" s="40">
        <f t="shared" si="32"/>
        <v>341.01107741467285</v>
      </c>
      <c r="N63" s="40">
        <f t="shared" si="33"/>
        <v>12.03568508522374</v>
      </c>
      <c r="O63" s="40">
        <f t="shared" si="34"/>
        <v>0.73</v>
      </c>
      <c r="P63" s="34">
        <f t="shared" si="42"/>
        <v>3.5000000000000003E-2</v>
      </c>
      <c r="Q63" s="34">
        <f t="shared" si="17"/>
        <v>2.9750000000000002E-2</v>
      </c>
      <c r="R63" s="126">
        <f t="shared" ca="1" si="46"/>
        <v>0.21041213388143068</v>
      </c>
      <c r="S63" s="126">
        <f t="shared" ca="1" si="47"/>
        <v>71.752868476027061</v>
      </c>
      <c r="T63" s="129">
        <f t="shared" ca="1" si="48"/>
        <v>2.5324541815068362</v>
      </c>
      <c r="U63" s="1"/>
      <c r="V63" s="40">
        <f t="shared" si="35"/>
        <v>646.26565350819601</v>
      </c>
      <c r="W63" s="40">
        <f t="shared" si="36"/>
        <v>807.83206688524513</v>
      </c>
      <c r="X63" s="40">
        <f t="shared" si="37"/>
        <v>28.511720007714494</v>
      </c>
      <c r="Y63" s="40">
        <f t="shared" si="58"/>
        <v>0.73</v>
      </c>
      <c r="Z63" s="34">
        <v>2.5000000000000001E-2</v>
      </c>
      <c r="AA63" s="34">
        <f t="shared" si="19"/>
        <v>2.5000000000000001E-2</v>
      </c>
      <c r="AB63" s="126">
        <f t="shared" ca="1" si="49"/>
        <v>0.32917440359239292</v>
      </c>
      <c r="AC63" s="126">
        <f t="shared" ca="1" si="50"/>
        <v>265.91763881976061</v>
      </c>
      <c r="AD63" s="129">
        <f t="shared" ca="1" si="51"/>
        <v>9.3853284289327146</v>
      </c>
      <c r="AE63" s="1"/>
      <c r="AF63" s="40">
        <f t="shared" si="38"/>
        <v>193.0127105849823</v>
      </c>
      <c r="AG63" s="40">
        <f t="shared" si="39"/>
        <v>241.26588823122773</v>
      </c>
      <c r="AH63" s="40">
        <f t="shared" si="40"/>
        <v>8.5152666434550923</v>
      </c>
      <c r="AI63" s="40">
        <f t="shared" si="59"/>
        <v>0.73</v>
      </c>
      <c r="AJ63" s="34">
        <v>2.5000000000000001E-2</v>
      </c>
      <c r="AK63" s="34">
        <f t="shared" si="21"/>
        <v>2.5000000000000001E-2</v>
      </c>
      <c r="AL63" s="126">
        <f t="shared" ca="1" si="52"/>
        <v>0.32917440359239292</v>
      </c>
      <c r="AM63" s="126">
        <f t="shared" ca="1" si="53"/>
        <v>79.418554865703314</v>
      </c>
      <c r="AN63" s="129">
        <f t="shared" ca="1" si="54"/>
        <v>2.8030078187895273</v>
      </c>
      <c r="AO63" s="1"/>
      <c r="AP63" s="40">
        <f t="shared" si="60"/>
        <v>222.46129012715329</v>
      </c>
      <c r="AQ63" s="40">
        <f t="shared" si="25"/>
        <v>278.07661265894171</v>
      </c>
      <c r="AR63" s="40">
        <f t="shared" si="26"/>
        <v>8.996596291906938</v>
      </c>
      <c r="AS63" s="40">
        <f t="shared" si="61"/>
        <v>0.73</v>
      </c>
      <c r="AT63" s="34">
        <v>2.5000000000000001E-2</v>
      </c>
      <c r="AU63" s="34">
        <f t="shared" si="23"/>
        <v>2.5000000000000001E-2</v>
      </c>
      <c r="AV63" s="126">
        <f t="shared" ca="1" si="55"/>
        <v>0.32917440359239292</v>
      </c>
      <c r="AW63" s="126">
        <f t="shared" ca="1" si="56"/>
        <v>91.535703124999998</v>
      </c>
      <c r="AX63" s="129">
        <f t="shared" ca="1" si="57"/>
        <v>2.9614492187499999</v>
      </c>
      <c r="AY63" s="1"/>
      <c r="AZ63" s="1"/>
      <c r="BA63" s="1"/>
      <c r="BB63" s="1"/>
      <c r="BC63" s="1"/>
      <c r="BD63" s="1"/>
      <c r="BE63" s="1"/>
      <c r="BF63" s="1"/>
      <c r="BG63" s="1"/>
      <c r="BH63" s="1"/>
      <c r="BI63" s="1"/>
    </row>
    <row r="64" spans="1:61">
      <c r="A64" s="505">
        <f t="shared" si="24"/>
        <v>2072</v>
      </c>
      <c r="B64" s="40">
        <f t="shared" si="16"/>
        <v>280.99312778969045</v>
      </c>
      <c r="C64" s="40">
        <f t="shared" si="29"/>
        <v>351.24140973711303</v>
      </c>
      <c r="D64" s="40">
        <f t="shared" si="30"/>
        <v>12.396755637780453</v>
      </c>
      <c r="E64" s="40">
        <f t="shared" si="27"/>
        <v>0.73</v>
      </c>
      <c r="F64" s="34">
        <v>0.03</v>
      </c>
      <c r="G64" s="34">
        <f t="shared" si="41"/>
        <v>2.5000000000000001E-2</v>
      </c>
      <c r="H64" s="126">
        <f t="shared" ca="1" si="43"/>
        <v>0.25673652792674051</v>
      </c>
      <c r="I64" s="126">
        <f t="shared" ca="1" si="44"/>
        <v>90.176500000000033</v>
      </c>
      <c r="J64" s="129">
        <f t="shared" ca="1" si="45"/>
        <v>3.1826999999999992</v>
      </c>
      <c r="K64" s="1"/>
      <c r="L64" s="40">
        <f t="shared" si="31"/>
        <v>280.99312778969045</v>
      </c>
      <c r="M64" s="40">
        <f t="shared" si="32"/>
        <v>351.24140973711303</v>
      </c>
      <c r="N64" s="40">
        <f t="shared" si="33"/>
        <v>12.396755637780453</v>
      </c>
      <c r="O64" s="40">
        <f t="shared" si="34"/>
        <v>0.73</v>
      </c>
      <c r="P64" s="34">
        <f t="shared" si="42"/>
        <v>3.5000000000000003E-2</v>
      </c>
      <c r="Q64" s="34">
        <f t="shared" si="17"/>
        <v>2.9750000000000002E-2</v>
      </c>
      <c r="R64" s="126">
        <f t="shared" ca="1" si="46"/>
        <v>0.20329674771152725</v>
      </c>
      <c r="S64" s="126">
        <f t="shared" ca="1" si="47"/>
        <v>71.406236261167038</v>
      </c>
      <c r="T64" s="129">
        <f t="shared" ca="1" si="48"/>
        <v>2.5202201033353058</v>
      </c>
      <c r="U64" s="1"/>
      <c r="V64" s="40">
        <f t="shared" si="35"/>
        <v>673.83788897139402</v>
      </c>
      <c r="W64" s="40">
        <f t="shared" si="36"/>
        <v>842.29736121424264</v>
      </c>
      <c r="X64" s="40">
        <f t="shared" si="37"/>
        <v>29.728142160502642</v>
      </c>
      <c r="Y64" s="40">
        <f t="shared" si="58"/>
        <v>0.73</v>
      </c>
      <c r="Z64" s="34">
        <v>2.5000000000000001E-2</v>
      </c>
      <c r="AA64" s="34">
        <f t="shared" si="19"/>
        <v>2.5000000000000001E-2</v>
      </c>
      <c r="AB64" s="126">
        <f t="shared" ca="1" si="49"/>
        <v>0.3211457596023346</v>
      </c>
      <c r="AC64" s="126">
        <f t="shared" ca="1" si="50"/>
        <v>270.50022587818995</v>
      </c>
      <c r="AD64" s="129">
        <f t="shared" ca="1" si="51"/>
        <v>9.5470667957008093</v>
      </c>
      <c r="AE64" s="1"/>
      <c r="AF64" s="40">
        <f t="shared" si="38"/>
        <v>198.3017857841597</v>
      </c>
      <c r="AG64" s="40">
        <f t="shared" si="39"/>
        <v>247.8772322301995</v>
      </c>
      <c r="AH64" s="40">
        <f t="shared" si="40"/>
        <v>8.748608196359978</v>
      </c>
      <c r="AI64" s="40">
        <f t="shared" si="59"/>
        <v>0.73</v>
      </c>
      <c r="AJ64" s="34">
        <v>2.5000000000000001E-2</v>
      </c>
      <c r="AK64" s="34">
        <f t="shared" si="21"/>
        <v>2.5000000000000001E-2</v>
      </c>
      <c r="AL64" s="126">
        <f t="shared" ca="1" si="52"/>
        <v>0.3211457596023346</v>
      </c>
      <c r="AM64" s="126">
        <f t="shared" ca="1" si="53"/>
        <v>79.604722032691711</v>
      </c>
      <c r="AN64" s="129">
        <f t="shared" ca="1" si="54"/>
        <v>2.8095784246832358</v>
      </c>
      <c r="AO64" s="1"/>
      <c r="AP64" s="40">
        <f t="shared" si="60"/>
        <v>228.02282238033212</v>
      </c>
      <c r="AQ64" s="40">
        <f t="shared" si="25"/>
        <v>285.02852797541522</v>
      </c>
      <c r="AR64" s="40">
        <f t="shared" si="26"/>
        <v>9.2215111992046115</v>
      </c>
      <c r="AS64" s="40">
        <f t="shared" si="61"/>
        <v>0.73</v>
      </c>
      <c r="AT64" s="34">
        <v>2.5000000000000001E-2</v>
      </c>
      <c r="AU64" s="34">
        <f t="shared" si="23"/>
        <v>2.5000000000000001E-2</v>
      </c>
      <c r="AV64" s="126">
        <f t="shared" ca="1" si="55"/>
        <v>0.3211457596023346</v>
      </c>
      <c r="AW64" s="126">
        <f t="shared" ca="1" si="56"/>
        <v>91.535703124999998</v>
      </c>
      <c r="AX64" s="129">
        <f t="shared" ca="1" si="57"/>
        <v>2.9614492187500003</v>
      </c>
      <c r="AY64" s="1"/>
      <c r="AZ64" s="1"/>
      <c r="BA64" s="1"/>
      <c r="BB64" s="1"/>
      <c r="BC64" s="1"/>
      <c r="BD64" s="1"/>
      <c r="BE64" s="1"/>
      <c r="BF64" s="1"/>
      <c r="BG64" s="1"/>
      <c r="BH64" s="1"/>
      <c r="BI64" s="1"/>
    </row>
    <row r="65" spans="1:61">
      <c r="A65" s="505">
        <f t="shared" si="24"/>
        <v>2073</v>
      </c>
      <c r="B65" s="40">
        <f t="shared" si="16"/>
        <v>289.42292162338111</v>
      </c>
      <c r="C65" s="40">
        <f t="shared" si="29"/>
        <v>361.77865202922641</v>
      </c>
      <c r="D65" s="40">
        <f t="shared" si="30"/>
        <v>12.768658306913867</v>
      </c>
      <c r="E65" s="40">
        <f t="shared" si="27"/>
        <v>0.73</v>
      </c>
      <c r="F65" s="34">
        <v>0.03</v>
      </c>
      <c r="G65" s="34">
        <f t="shared" si="41"/>
        <v>2.5000000000000001E-2</v>
      </c>
      <c r="H65" s="126">
        <f t="shared" ca="1" si="43"/>
        <v>0.24925876497741797</v>
      </c>
      <c r="I65" s="126">
        <f t="shared" ca="1" si="44"/>
        <v>90.176500000000019</v>
      </c>
      <c r="J65" s="129">
        <f t="shared" ca="1" si="45"/>
        <v>3.1826999999999992</v>
      </c>
      <c r="K65" s="1"/>
      <c r="L65" s="40">
        <f t="shared" si="31"/>
        <v>289.42292162338111</v>
      </c>
      <c r="M65" s="40">
        <f t="shared" si="32"/>
        <v>361.77865202922641</v>
      </c>
      <c r="N65" s="40">
        <f t="shared" si="33"/>
        <v>12.768658306913867</v>
      </c>
      <c r="O65" s="40">
        <f t="shared" si="34"/>
        <v>0.73</v>
      </c>
      <c r="P65" s="34">
        <f t="shared" si="42"/>
        <v>3.5000000000000003E-2</v>
      </c>
      <c r="Q65" s="34">
        <f t="shared" si="17"/>
        <v>2.9750000000000002E-2</v>
      </c>
      <c r="R65" s="126">
        <f t="shared" ca="1" si="46"/>
        <v>0.19642197846524373</v>
      </c>
      <c r="S65" s="126">
        <f t="shared" ca="1" si="47"/>
        <v>71.06127859806962</v>
      </c>
      <c r="T65" s="129">
        <f t="shared" ca="1" si="48"/>
        <v>2.5080451269906909</v>
      </c>
      <c r="U65" s="1"/>
      <c r="V65" s="40">
        <f t="shared" si="35"/>
        <v>702.48281947422652</v>
      </c>
      <c r="W65" s="40">
        <f t="shared" si="36"/>
        <v>878.10352434278343</v>
      </c>
      <c r="X65" s="40">
        <f t="shared" si="37"/>
        <v>30.991889094451139</v>
      </c>
      <c r="Y65" s="40">
        <f t="shared" si="58"/>
        <v>0.73</v>
      </c>
      <c r="Z65" s="34">
        <v>2.5000000000000001E-2</v>
      </c>
      <c r="AA65" s="34">
        <f t="shared" si="19"/>
        <v>2.5000000000000001E-2</v>
      </c>
      <c r="AB65" s="126">
        <f t="shared" ca="1" si="49"/>
        <v>0.31331293619739964</v>
      </c>
      <c r="AC65" s="126">
        <f t="shared" ca="1" si="50"/>
        <v>275.12119349712225</v>
      </c>
      <c r="AD65" s="129">
        <f t="shared" ca="1" si="51"/>
        <v>9.7101597704866549</v>
      </c>
      <c r="AE65" s="1"/>
      <c r="AF65" s="40">
        <f t="shared" si="38"/>
        <v>203.75705283108798</v>
      </c>
      <c r="AG65" s="40">
        <f t="shared" si="39"/>
        <v>254.69631603885986</v>
      </c>
      <c r="AH65" s="40">
        <f t="shared" si="40"/>
        <v>8.9892817425479929</v>
      </c>
      <c r="AI65" s="40">
        <f t="shared" si="59"/>
        <v>0.73</v>
      </c>
      <c r="AJ65" s="34">
        <v>2.5000000000000001E-2</v>
      </c>
      <c r="AK65" s="34">
        <f t="shared" si="21"/>
        <v>2.5000000000000001E-2</v>
      </c>
      <c r="AL65" s="126">
        <f t="shared" ca="1" si="52"/>
        <v>0.31331293619739964</v>
      </c>
      <c r="AM65" s="126">
        <f t="shared" ca="1" si="53"/>
        <v>79.799650616796029</v>
      </c>
      <c r="AN65" s="129">
        <f t="shared" ca="1" si="54"/>
        <v>2.8164582570633887</v>
      </c>
      <c r="AO65" s="1"/>
      <c r="AP65" s="40">
        <f t="shared" si="60"/>
        <v>233.72339293984041</v>
      </c>
      <c r="AQ65" s="40">
        <f t="shared" si="25"/>
        <v>292.15424117480057</v>
      </c>
      <c r="AR65" s="40">
        <f t="shared" si="26"/>
        <v>9.4520489791847258</v>
      </c>
      <c r="AS65" s="40">
        <f t="shared" si="61"/>
        <v>0.73</v>
      </c>
      <c r="AT65" s="34">
        <v>2.5000000000000001E-2</v>
      </c>
      <c r="AU65" s="34">
        <f t="shared" si="23"/>
        <v>2.5000000000000001E-2</v>
      </c>
      <c r="AV65" s="126">
        <f t="shared" ca="1" si="55"/>
        <v>0.31331293619739964</v>
      </c>
      <c r="AW65" s="126">
        <f t="shared" ca="1" si="56"/>
        <v>91.535703124999998</v>
      </c>
      <c r="AX65" s="129">
        <f t="shared" ca="1" si="57"/>
        <v>2.9614492187500003</v>
      </c>
      <c r="AY65" s="1"/>
      <c r="AZ65" s="1"/>
      <c r="BA65" s="1"/>
      <c r="BB65" s="1"/>
      <c r="BC65" s="1"/>
      <c r="BD65" s="1"/>
      <c r="BE65" s="1"/>
      <c r="BF65" s="1"/>
      <c r="BG65" s="1"/>
      <c r="BH65" s="1"/>
      <c r="BI65" s="1"/>
    </row>
    <row r="66" spans="1:61">
      <c r="A66" s="505">
        <f t="shared" si="24"/>
        <v>2074</v>
      </c>
      <c r="B66" s="40">
        <f t="shared" si="16"/>
        <v>298.10560927208257</v>
      </c>
      <c r="C66" s="40">
        <f t="shared" si="29"/>
        <v>372.63201159010322</v>
      </c>
      <c r="D66" s="40">
        <f t="shared" si="30"/>
        <v>13.151718056121283</v>
      </c>
      <c r="E66" s="40">
        <f t="shared" si="27"/>
        <v>0.73</v>
      </c>
      <c r="F66" s="34">
        <v>0.03</v>
      </c>
      <c r="G66" s="34">
        <f t="shared" si="41"/>
        <v>2.5000000000000001E-2</v>
      </c>
      <c r="H66" s="126">
        <f t="shared" ca="1" si="43"/>
        <v>0.24199880094894949</v>
      </c>
      <c r="I66" s="126">
        <f t="shared" ca="1" si="44"/>
        <v>90.176500000000033</v>
      </c>
      <c r="J66" s="129">
        <f t="shared" ca="1" si="45"/>
        <v>3.1826999999999992</v>
      </c>
      <c r="K66" s="1"/>
      <c r="L66" s="40">
        <f t="shared" si="31"/>
        <v>298.10560927208257</v>
      </c>
      <c r="M66" s="40">
        <f t="shared" si="32"/>
        <v>372.63201159010322</v>
      </c>
      <c r="N66" s="40">
        <f t="shared" si="33"/>
        <v>13.151718056121283</v>
      </c>
      <c r="O66" s="40">
        <f t="shared" si="34"/>
        <v>0.73</v>
      </c>
      <c r="P66" s="34">
        <f t="shared" si="42"/>
        <v>3.5000000000000003E-2</v>
      </c>
      <c r="Q66" s="34">
        <f t="shared" si="17"/>
        <v>2.9750000000000002E-2</v>
      </c>
      <c r="R66" s="126">
        <f t="shared" ca="1" si="46"/>
        <v>0.18977968933839975</v>
      </c>
      <c r="S66" s="126">
        <f t="shared" ca="1" si="47"/>
        <v>70.717987397112765</v>
      </c>
      <c r="T66" s="129">
        <f t="shared" ca="1" si="48"/>
        <v>2.4959289669569196</v>
      </c>
      <c r="U66" s="1"/>
      <c r="V66" s="40">
        <f t="shared" si="35"/>
        <v>732.23999170715479</v>
      </c>
      <c r="W66" s="40">
        <f t="shared" si="36"/>
        <v>915.29998963394382</v>
      </c>
      <c r="X66" s="40">
        <f t="shared" si="37"/>
        <v>32.304705516492092</v>
      </c>
      <c r="Y66" s="40">
        <f t="shared" si="58"/>
        <v>0.73</v>
      </c>
      <c r="Z66" s="34">
        <v>2.5000000000000001E-2</v>
      </c>
      <c r="AA66" s="34">
        <f t="shared" si="19"/>
        <v>2.5000000000000001E-2</v>
      </c>
      <c r="AB66" s="126">
        <f t="shared" ca="1" si="49"/>
        <v>0.30567115726575578</v>
      </c>
      <c r="AC66" s="126">
        <f t="shared" ca="1" si="50"/>
        <v>279.78080707674189</v>
      </c>
      <c r="AD66" s="129">
        <f t="shared" ca="1" si="51"/>
        <v>9.8746167203555828</v>
      </c>
      <c r="AE66" s="1"/>
      <c r="AF66" s="40">
        <f t="shared" si="38"/>
        <v>209.38338468732312</v>
      </c>
      <c r="AG66" s="40">
        <f t="shared" si="39"/>
        <v>261.72923085915374</v>
      </c>
      <c r="AH66" s="40">
        <f t="shared" si="40"/>
        <v>9.2375022656171879</v>
      </c>
      <c r="AI66" s="40">
        <f t="shared" si="59"/>
        <v>0.73</v>
      </c>
      <c r="AJ66" s="34">
        <v>2.5000000000000001E-2</v>
      </c>
      <c r="AK66" s="34">
        <f t="shared" si="21"/>
        <v>2.5000000000000001E-2</v>
      </c>
      <c r="AL66" s="126">
        <f t="shared" ca="1" si="52"/>
        <v>0.30567115726575578</v>
      </c>
      <c r="AM66" s="126">
        <f t="shared" ca="1" si="53"/>
        <v>80.003076886993682</v>
      </c>
      <c r="AN66" s="129">
        <f t="shared" ca="1" si="54"/>
        <v>2.8236380077762466</v>
      </c>
      <c r="AO66" s="1"/>
      <c r="AP66" s="40">
        <f t="shared" si="60"/>
        <v>239.56647776333639</v>
      </c>
      <c r="AQ66" s="40">
        <f t="shared" si="25"/>
        <v>299.45809720417054</v>
      </c>
      <c r="AR66" s="40">
        <f t="shared" si="26"/>
        <v>9.6883502036643439</v>
      </c>
      <c r="AS66" s="40">
        <f t="shared" si="61"/>
        <v>0.73</v>
      </c>
      <c r="AT66" s="34">
        <v>2.5000000000000001E-2</v>
      </c>
      <c r="AU66" s="34">
        <f t="shared" si="23"/>
        <v>2.5000000000000001E-2</v>
      </c>
      <c r="AV66" s="126">
        <f t="shared" ca="1" si="55"/>
        <v>0.30567115726575578</v>
      </c>
      <c r="AW66" s="126">
        <f t="shared" ca="1" si="56"/>
        <v>91.535703124999998</v>
      </c>
      <c r="AX66" s="129">
        <f t="shared" ca="1" si="57"/>
        <v>2.9614492187500008</v>
      </c>
      <c r="AY66" s="1"/>
      <c r="AZ66" s="1"/>
      <c r="BA66" s="1"/>
      <c r="BB66" s="1"/>
      <c r="BC66" s="1"/>
      <c r="BD66" s="1"/>
      <c r="BE66" s="1"/>
      <c r="BF66" s="1"/>
      <c r="BG66" s="1"/>
      <c r="BH66" s="1"/>
      <c r="BI66" s="1"/>
    </row>
    <row r="67" spans="1:61">
      <c r="A67" s="505">
        <f t="shared" si="24"/>
        <v>2075</v>
      </c>
      <c r="B67" s="40">
        <f t="shared" si="16"/>
        <v>307.04877755024506</v>
      </c>
      <c r="C67" s="40">
        <f t="shared" si="29"/>
        <v>383.8109719378063</v>
      </c>
      <c r="D67" s="40">
        <f t="shared" si="30"/>
        <v>13.546269597804921</v>
      </c>
      <c r="E67" s="40">
        <f t="shared" si="27"/>
        <v>0.73</v>
      </c>
      <c r="F67" s="34">
        <v>0.03</v>
      </c>
      <c r="G67" s="34">
        <f t="shared" si="41"/>
        <v>2.5000000000000001E-2</v>
      </c>
      <c r="H67" s="126">
        <f t="shared" ca="1" si="43"/>
        <v>0.2349502921834461</v>
      </c>
      <c r="I67" s="126">
        <f t="shared" ca="1" si="44"/>
        <v>90.176500000000019</v>
      </c>
      <c r="J67" s="129">
        <f t="shared" ca="1" si="45"/>
        <v>3.1826999999999992</v>
      </c>
      <c r="K67" s="1"/>
      <c r="L67" s="40">
        <f t="shared" si="31"/>
        <v>307.04877755024506</v>
      </c>
      <c r="M67" s="40">
        <f t="shared" si="32"/>
        <v>383.8109719378063</v>
      </c>
      <c r="N67" s="40">
        <f t="shared" si="33"/>
        <v>13.546269597804921</v>
      </c>
      <c r="O67" s="40">
        <f t="shared" si="34"/>
        <v>0.73</v>
      </c>
      <c r="P67" s="34">
        <f t="shared" si="42"/>
        <v>3.5000000000000003E-2</v>
      </c>
      <c r="Q67" s="34">
        <f t="shared" si="17"/>
        <v>2.9750000000000002E-2</v>
      </c>
      <c r="R67" s="126">
        <f t="shared" ca="1" si="46"/>
        <v>0.18336201868444421</v>
      </c>
      <c r="S67" s="126">
        <f t="shared" ca="1" si="47"/>
        <v>70.376354607754735</v>
      </c>
      <c r="T67" s="129">
        <f t="shared" ca="1" si="48"/>
        <v>2.4838713390972242</v>
      </c>
      <c r="U67" s="1"/>
      <c r="V67" s="40">
        <f t="shared" si="35"/>
        <v>763.15035973653198</v>
      </c>
      <c r="W67" s="40">
        <f t="shared" si="36"/>
        <v>953.93794967066526</v>
      </c>
      <c r="X67" s="40">
        <f t="shared" si="37"/>
        <v>33.668398223670494</v>
      </c>
      <c r="Y67" s="40">
        <f t="shared" si="58"/>
        <v>0.73</v>
      </c>
      <c r="Z67" s="34">
        <v>2.5000000000000001E-2</v>
      </c>
      <c r="AA67" s="34">
        <f t="shared" si="19"/>
        <v>2.5000000000000001E-2</v>
      </c>
      <c r="AB67" s="126">
        <f t="shared" ca="1" si="49"/>
        <v>0.29821576318610321</v>
      </c>
      <c r="AC67" s="126">
        <f t="shared" ca="1" si="50"/>
        <v>284.47933369322396</v>
      </c>
      <c r="AD67" s="129">
        <f t="shared" ca="1" si="51"/>
        <v>10.040447071525538</v>
      </c>
      <c r="AE67" s="1"/>
      <c r="AF67" s="40">
        <f t="shared" si="38"/>
        <v>215.18580219517577</v>
      </c>
      <c r="AG67" s="40">
        <f t="shared" si="39"/>
        <v>268.98225274396952</v>
      </c>
      <c r="AH67" s="40">
        <f t="shared" si="40"/>
        <v>9.4934912733165682</v>
      </c>
      <c r="AI67" s="40">
        <f t="shared" si="59"/>
        <v>0.73</v>
      </c>
      <c r="AJ67" s="34">
        <v>2.5000000000000001E-2</v>
      </c>
      <c r="AK67" s="34">
        <f t="shared" si="21"/>
        <v>2.5000000000000001E-2</v>
      </c>
      <c r="AL67" s="126">
        <f t="shared" ca="1" si="52"/>
        <v>0.29821576318610321</v>
      </c>
      <c r="AM67" s="126">
        <f t="shared" ca="1" si="53"/>
        <v>80.214747785560178</v>
      </c>
      <c r="AN67" s="129">
        <f t="shared" ca="1" si="54"/>
        <v>2.8311087453727111</v>
      </c>
      <c r="AO67" s="1"/>
      <c r="AP67" s="40">
        <f t="shared" si="60"/>
        <v>245.55563970741977</v>
      </c>
      <c r="AQ67" s="40">
        <f t="shared" si="25"/>
        <v>306.94454963427478</v>
      </c>
      <c r="AR67" s="40">
        <f t="shared" si="26"/>
        <v>9.9305589587559524</v>
      </c>
      <c r="AS67" s="40">
        <f t="shared" si="61"/>
        <v>0.73</v>
      </c>
      <c r="AT67" s="34">
        <v>2.5000000000000001E-2</v>
      </c>
      <c r="AU67" s="34">
        <f t="shared" si="23"/>
        <v>2.5000000000000001E-2</v>
      </c>
      <c r="AV67" s="126">
        <f t="shared" ca="1" si="55"/>
        <v>0.29821576318610321</v>
      </c>
      <c r="AW67" s="126">
        <f t="shared" ca="1" si="56"/>
        <v>91.535703124999984</v>
      </c>
      <c r="AX67" s="129">
        <f t="shared" ca="1" si="57"/>
        <v>2.9614492187500008</v>
      </c>
      <c r="AY67" s="1"/>
      <c r="AZ67" s="1"/>
      <c r="BA67" s="1"/>
      <c r="BB67" s="1"/>
      <c r="BC67" s="1"/>
      <c r="BD67" s="1"/>
      <c r="BE67" s="1"/>
      <c r="BF67" s="1"/>
      <c r="BG67" s="1"/>
      <c r="BH67" s="1"/>
      <c r="BI67" s="1"/>
    </row>
    <row r="68" spans="1:61">
      <c r="A68" s="505">
        <f t="shared" si="24"/>
        <v>2076</v>
      </c>
      <c r="B68" s="40">
        <f t="shared" si="16"/>
        <v>316.26024087675245</v>
      </c>
      <c r="C68" s="40">
        <f t="shared" si="29"/>
        <v>395.32530109594052</v>
      </c>
      <c r="D68" s="40">
        <f t="shared" si="30"/>
        <v>13.952657685739069</v>
      </c>
      <c r="E68" s="40">
        <f t="shared" si="27"/>
        <v>0.73</v>
      </c>
      <c r="F68" s="34">
        <v>0.03</v>
      </c>
      <c r="G68" s="34">
        <f t="shared" si="41"/>
        <v>2.5000000000000001E-2</v>
      </c>
      <c r="H68" s="126">
        <f t="shared" ca="1" si="43"/>
        <v>0.22810707978975348</v>
      </c>
      <c r="I68" s="126">
        <f t="shared" ca="1" si="44"/>
        <v>90.176500000000019</v>
      </c>
      <c r="J68" s="129">
        <f t="shared" ca="1" si="45"/>
        <v>3.1826999999999988</v>
      </c>
      <c r="K68" s="1"/>
      <c r="L68" s="40">
        <f t="shared" si="31"/>
        <v>316.26024087675245</v>
      </c>
      <c r="M68" s="40">
        <f t="shared" si="32"/>
        <v>395.32530109594052</v>
      </c>
      <c r="N68" s="40">
        <f t="shared" si="33"/>
        <v>13.952657685739069</v>
      </c>
      <c r="O68" s="40">
        <f t="shared" si="34"/>
        <v>0.73</v>
      </c>
      <c r="P68" s="34">
        <f t="shared" si="42"/>
        <v>3.5000000000000003E-2</v>
      </c>
      <c r="Q68" s="34">
        <f t="shared" si="17"/>
        <v>2.9750000000000002E-2</v>
      </c>
      <c r="R68" s="126">
        <f t="shared" ca="1" si="46"/>
        <v>0.17716137070960794</v>
      </c>
      <c r="S68" s="126">
        <f t="shared" ca="1" si="47"/>
        <v>70.036372218345292</v>
      </c>
      <c r="T68" s="129">
        <f t="shared" ca="1" si="48"/>
        <v>2.4718719606474795</v>
      </c>
      <c r="U68" s="1"/>
      <c r="V68" s="40">
        <f t="shared" si="35"/>
        <v>795.25633385513538</v>
      </c>
      <c r="W68" s="40">
        <f t="shared" si="36"/>
        <v>994.07041731891945</v>
      </c>
      <c r="X68" s="40">
        <f t="shared" si="37"/>
        <v>35.084838258314754</v>
      </c>
      <c r="Y68" s="40">
        <f t="shared" si="58"/>
        <v>0.73</v>
      </c>
      <c r="Z68" s="34">
        <v>2.5000000000000001E-2</v>
      </c>
      <c r="AA68" s="34">
        <f t="shared" si="19"/>
        <v>2.5000000000000001E-2</v>
      </c>
      <c r="AB68" s="126">
        <f t="shared" ca="1" si="49"/>
        <v>0.29094220798644216</v>
      </c>
      <c r="AC68" s="126">
        <f t="shared" ca="1" si="50"/>
        <v>289.21704210877044</v>
      </c>
      <c r="AD68" s="129">
        <f t="shared" ca="1" si="51"/>
        <v>10.207660309721295</v>
      </c>
      <c r="AE68" s="1"/>
      <c r="AF68" s="40">
        <f t="shared" si="38"/>
        <v>221.16947848875552</v>
      </c>
      <c r="AG68" s="40">
        <f t="shared" si="39"/>
        <v>276.46184811094417</v>
      </c>
      <c r="AH68" s="40">
        <f t="shared" si="40"/>
        <v>9.7574769921509681</v>
      </c>
      <c r="AI68" s="40">
        <f t="shared" si="59"/>
        <v>0.73</v>
      </c>
      <c r="AJ68" s="34">
        <v>2.5000000000000001E-2</v>
      </c>
      <c r="AK68" s="34">
        <f t="shared" si="21"/>
        <v>2.5000000000000001E-2</v>
      </c>
      <c r="AL68" s="126">
        <f t="shared" ca="1" si="52"/>
        <v>0.29094220798644216</v>
      </c>
      <c r="AM68" s="126">
        <f t="shared" ca="1" si="53"/>
        <v>80.434420513410501</v>
      </c>
      <c r="AN68" s="129">
        <f t="shared" ca="1" si="54"/>
        <v>2.8388619004733111</v>
      </c>
      <c r="AO68" s="1"/>
      <c r="AP68" s="40">
        <f t="shared" si="60"/>
        <v>251.69453070010525</v>
      </c>
      <c r="AQ68" s="40">
        <f t="shared" si="25"/>
        <v>314.61816337513164</v>
      </c>
      <c r="AR68" s="40">
        <f t="shared" si="26"/>
        <v>10.178822932724851</v>
      </c>
      <c r="AS68" s="40">
        <f t="shared" si="61"/>
        <v>0.73</v>
      </c>
      <c r="AT68" s="34">
        <v>2.5000000000000001E-2</v>
      </c>
      <c r="AU68" s="34">
        <f t="shared" si="23"/>
        <v>2.5000000000000001E-2</v>
      </c>
      <c r="AV68" s="126">
        <f t="shared" ca="1" si="55"/>
        <v>0.29094220798644216</v>
      </c>
      <c r="AW68" s="126">
        <f t="shared" ca="1" si="56"/>
        <v>91.535703124999984</v>
      </c>
      <c r="AX68" s="129">
        <f t="shared" ca="1" si="57"/>
        <v>2.9614492187500008</v>
      </c>
      <c r="AY68" s="1"/>
      <c r="AZ68" s="1"/>
      <c r="BA68" s="1"/>
      <c r="BB68" s="1"/>
      <c r="BC68" s="1"/>
      <c r="BD68" s="1"/>
      <c r="BE68" s="1"/>
      <c r="BF68" s="1"/>
      <c r="BG68" s="1"/>
      <c r="BH68" s="1"/>
      <c r="BI68" s="1"/>
    </row>
    <row r="69" spans="1:61">
      <c r="A69" s="505">
        <f t="shared" si="24"/>
        <v>2077</v>
      </c>
      <c r="B69" s="40">
        <f t="shared" si="16"/>
        <v>325.748048103055</v>
      </c>
      <c r="C69" s="40">
        <f t="shared" si="29"/>
        <v>407.18506012881875</v>
      </c>
      <c r="D69" s="40">
        <f t="shared" si="30"/>
        <v>14.371237416311242</v>
      </c>
      <c r="E69" s="40">
        <f t="shared" si="27"/>
        <v>0.73</v>
      </c>
      <c r="F69" s="34">
        <v>0.03</v>
      </c>
      <c r="G69" s="34">
        <f t="shared" si="41"/>
        <v>2.5000000000000001E-2</v>
      </c>
      <c r="H69" s="126">
        <f t="shared" ca="1" si="43"/>
        <v>0.22146318426189657</v>
      </c>
      <c r="I69" s="126">
        <f t="shared" ca="1" si="44"/>
        <v>90.176500000000019</v>
      </c>
      <c r="J69" s="129">
        <f t="shared" ca="1" si="45"/>
        <v>3.1826999999999992</v>
      </c>
      <c r="K69" s="1"/>
      <c r="L69" s="40">
        <f t="shared" si="31"/>
        <v>325.748048103055</v>
      </c>
      <c r="M69" s="40">
        <f t="shared" si="32"/>
        <v>407.18506012881875</v>
      </c>
      <c r="N69" s="40">
        <f t="shared" si="33"/>
        <v>14.371237416311242</v>
      </c>
      <c r="O69" s="40">
        <f t="shared" si="34"/>
        <v>0.73</v>
      </c>
      <c r="P69" s="34">
        <f t="shared" si="42"/>
        <v>3.5000000000000003E-2</v>
      </c>
      <c r="Q69" s="34">
        <f t="shared" si="17"/>
        <v>2.9750000000000002E-2</v>
      </c>
      <c r="R69" s="126">
        <f t="shared" ca="1" si="46"/>
        <v>0.17117040648271301</v>
      </c>
      <c r="S69" s="126">
        <f t="shared" ca="1" si="47"/>
        <v>69.698032255937846</v>
      </c>
      <c r="T69" s="129">
        <f t="shared" ca="1" si="48"/>
        <v>2.4599305502095694</v>
      </c>
      <c r="U69" s="1"/>
      <c r="V69" s="40">
        <f t="shared" si="35"/>
        <v>828.60183109709192</v>
      </c>
      <c r="W69" s="40">
        <f t="shared" si="36"/>
        <v>1035.7522888713652</v>
      </c>
      <c r="X69" s="40">
        <f t="shared" si="37"/>
        <v>36.555963136636365</v>
      </c>
      <c r="Y69" s="40">
        <f t="shared" si="58"/>
        <v>0.73</v>
      </c>
      <c r="Z69" s="34">
        <v>2.5000000000000001E-2</v>
      </c>
      <c r="AA69" s="34">
        <f t="shared" si="19"/>
        <v>2.5000000000000001E-2</v>
      </c>
      <c r="AB69" s="126">
        <f t="shared" ca="1" si="49"/>
        <v>0.28384605657213874</v>
      </c>
      <c r="AC69" s="126">
        <f t="shared" ca="1" si="50"/>
        <v>293.99420278170373</v>
      </c>
      <c r="AD69" s="129">
        <f t="shared" ca="1" si="51"/>
        <v>10.376265980530704</v>
      </c>
      <c r="AE69" s="1"/>
      <c r="AF69" s="40">
        <f t="shared" si="38"/>
        <v>227.33974353772672</v>
      </c>
      <c r="AG69" s="40">
        <f t="shared" si="39"/>
        <v>284.17467942215825</v>
      </c>
      <c r="AH69" s="40">
        <f t="shared" si="40"/>
        <v>10.029694567840876</v>
      </c>
      <c r="AI69" s="40">
        <f t="shared" si="59"/>
        <v>0.73</v>
      </c>
      <c r="AJ69" s="34">
        <v>2.5000000000000001E-2</v>
      </c>
      <c r="AK69" s="34">
        <f t="shared" si="21"/>
        <v>2.5000000000000001E-2</v>
      </c>
      <c r="AL69" s="126">
        <f t="shared" ca="1" si="52"/>
        <v>0.28384605657213874</v>
      </c>
      <c r="AM69" s="126">
        <f t="shared" ca="1" si="53"/>
        <v>80.661862131631324</v>
      </c>
      <c r="AN69" s="129">
        <f t="shared" ca="1" si="54"/>
        <v>2.846889251704634</v>
      </c>
      <c r="AO69" s="1"/>
      <c r="AP69" s="40">
        <f t="shared" si="60"/>
        <v>257.98689396760784</v>
      </c>
      <c r="AQ69" s="40">
        <f t="shared" si="25"/>
        <v>322.4836174595099</v>
      </c>
      <c r="AR69" s="40">
        <f t="shared" si="26"/>
        <v>10.43329350604297</v>
      </c>
      <c r="AS69" s="40">
        <f t="shared" si="61"/>
        <v>0.73</v>
      </c>
      <c r="AT69" s="34">
        <v>2.5000000000000001E-2</v>
      </c>
      <c r="AU69" s="34">
        <f t="shared" si="23"/>
        <v>2.5000000000000001E-2</v>
      </c>
      <c r="AV69" s="126">
        <f t="shared" ca="1" si="55"/>
        <v>0.28384605657213874</v>
      </c>
      <c r="AW69" s="126">
        <f t="shared" ca="1" si="56"/>
        <v>91.535703124999998</v>
      </c>
      <c r="AX69" s="129">
        <f t="shared" ca="1" si="57"/>
        <v>2.9614492187500008</v>
      </c>
      <c r="AY69" s="1"/>
      <c r="AZ69" s="1"/>
      <c r="BA69" s="1"/>
      <c r="BB69" s="1"/>
      <c r="BC69" s="1"/>
      <c r="BD69" s="1"/>
      <c r="BE69" s="1"/>
      <c r="BF69" s="1"/>
      <c r="BG69" s="1"/>
      <c r="BH69" s="1"/>
      <c r="BI69" s="1"/>
    </row>
    <row r="70" spans="1:61">
      <c r="A70" s="505">
        <f t="shared" si="24"/>
        <v>2078</v>
      </c>
      <c r="B70" s="40">
        <f t="shared" si="16"/>
        <v>335.52048954614668</v>
      </c>
      <c r="C70" s="40">
        <f t="shared" si="29"/>
        <v>419.40061193268332</v>
      </c>
      <c r="D70" s="40">
        <f t="shared" si="30"/>
        <v>14.80237453880058</v>
      </c>
      <c r="E70" s="40">
        <f t="shared" si="27"/>
        <v>0.73</v>
      </c>
      <c r="F70" s="34">
        <v>0.03</v>
      </c>
      <c r="G70" s="34">
        <f t="shared" si="41"/>
        <v>2.5000000000000001E-2</v>
      </c>
      <c r="H70" s="126">
        <f t="shared" ca="1" si="43"/>
        <v>0.2150128002542685</v>
      </c>
      <c r="I70" s="126">
        <f t="shared" ca="1" si="44"/>
        <v>90.176500000000019</v>
      </c>
      <c r="J70" s="129">
        <f t="shared" ca="1" si="45"/>
        <v>3.1826999999999988</v>
      </c>
      <c r="K70" s="1"/>
      <c r="L70" s="40">
        <f t="shared" si="31"/>
        <v>335.52048954614668</v>
      </c>
      <c r="M70" s="40">
        <f t="shared" si="32"/>
        <v>419.40061193268332</v>
      </c>
      <c r="N70" s="40">
        <f t="shared" si="33"/>
        <v>14.80237453880058</v>
      </c>
      <c r="O70" s="40">
        <f t="shared" si="34"/>
        <v>0.73</v>
      </c>
      <c r="P70" s="34">
        <f t="shared" si="42"/>
        <v>3.5000000000000003E-2</v>
      </c>
      <c r="Q70" s="34">
        <f t="shared" si="17"/>
        <v>2.9750000000000002E-2</v>
      </c>
      <c r="R70" s="126">
        <f t="shared" ca="1" si="46"/>
        <v>0.16538203524899808</v>
      </c>
      <c r="S70" s="126">
        <f t="shared" ca="1" si="47"/>
        <v>69.361326786102396</v>
      </c>
      <c r="T70" s="129">
        <f t="shared" ca="1" si="48"/>
        <v>2.4480468277447893</v>
      </c>
      <c r="U70" s="1"/>
      <c r="V70" s="40">
        <f t="shared" si="35"/>
        <v>863.23232747309635</v>
      </c>
      <c r="W70" s="40">
        <f t="shared" si="36"/>
        <v>1079.0404093413708</v>
      </c>
      <c r="X70" s="40">
        <f t="shared" si="37"/>
        <v>38.083779153224796</v>
      </c>
      <c r="Y70" s="40">
        <f t="shared" si="58"/>
        <v>0.73</v>
      </c>
      <c r="Z70" s="34">
        <v>2.5000000000000001E-2</v>
      </c>
      <c r="AA70" s="34">
        <f t="shared" si="19"/>
        <v>2.5000000000000001E-2</v>
      </c>
      <c r="AB70" s="126">
        <f t="shared" ca="1" si="49"/>
        <v>0.27692298202159882</v>
      </c>
      <c r="AC70" s="126">
        <f t="shared" ca="1" si="50"/>
        <v>298.81108787661907</v>
      </c>
      <c r="AD70" s="129">
        <f t="shared" ca="1" si="51"/>
        <v>10.54627368976301</v>
      </c>
      <c r="AE70" s="1"/>
      <c r="AF70" s="40">
        <f t="shared" si="38"/>
        <v>233.7020888277525</v>
      </c>
      <c r="AG70" s="40">
        <f t="shared" si="39"/>
        <v>292.12761103469046</v>
      </c>
      <c r="AH70" s="40">
        <f t="shared" si="40"/>
        <v>10.3103862718126</v>
      </c>
      <c r="AI70" s="40">
        <f t="shared" si="59"/>
        <v>0.73</v>
      </c>
      <c r="AJ70" s="34">
        <v>2.5000000000000001E-2</v>
      </c>
      <c r="AK70" s="34">
        <f t="shared" si="21"/>
        <v>2.5000000000000001E-2</v>
      </c>
      <c r="AL70" s="126">
        <f t="shared" ca="1" si="52"/>
        <v>0.27692298202159882</v>
      </c>
      <c r="AM70" s="126">
        <f t="shared" ca="1" si="53"/>
        <v>80.896849178572197</v>
      </c>
      <c r="AN70" s="129">
        <f t="shared" ca="1" si="54"/>
        <v>2.8551829121849002</v>
      </c>
      <c r="AO70" s="1"/>
      <c r="AP70" s="40">
        <f t="shared" si="60"/>
        <v>264.43656631679801</v>
      </c>
      <c r="AQ70" s="40">
        <f t="shared" si="25"/>
        <v>330.54570789599762</v>
      </c>
      <c r="AR70" s="40">
        <f t="shared" si="26"/>
        <v>10.694125843694044</v>
      </c>
      <c r="AS70" s="40">
        <f t="shared" si="61"/>
        <v>0.73</v>
      </c>
      <c r="AT70" s="34">
        <v>2.5000000000000001E-2</v>
      </c>
      <c r="AU70" s="34">
        <f t="shared" si="23"/>
        <v>2.5000000000000001E-2</v>
      </c>
      <c r="AV70" s="126">
        <f t="shared" ca="1" si="55"/>
        <v>0.27692298202159882</v>
      </c>
      <c r="AW70" s="126">
        <f t="shared" ca="1" si="56"/>
        <v>91.535703124999998</v>
      </c>
      <c r="AX70" s="129">
        <f t="shared" ca="1" si="57"/>
        <v>2.9614492187500012</v>
      </c>
      <c r="AY70" s="1"/>
      <c r="AZ70" s="1"/>
      <c r="BA70" s="1"/>
      <c r="BB70" s="1"/>
      <c r="BC70" s="1"/>
      <c r="BD70" s="1"/>
      <c r="BE70" s="1"/>
      <c r="BF70" s="1"/>
      <c r="BG70" s="1"/>
      <c r="BH70" s="1"/>
      <c r="BI70" s="1"/>
    </row>
    <row r="71" spans="1:61">
      <c r="A71" s="505">
        <f t="shared" si="24"/>
        <v>2079</v>
      </c>
      <c r="B71" s="40">
        <f t="shared" si="16"/>
        <v>345.58610423253111</v>
      </c>
      <c r="C71" s="40">
        <f t="shared" si="29"/>
        <v>431.98263029066385</v>
      </c>
      <c r="D71" s="40">
        <f t="shared" si="30"/>
        <v>15.246445774964597</v>
      </c>
      <c r="E71" s="40">
        <f t="shared" si="27"/>
        <v>0.73</v>
      </c>
      <c r="F71" s="34">
        <v>0.03</v>
      </c>
      <c r="G71" s="34">
        <f t="shared" si="41"/>
        <v>2.5000000000000001E-2</v>
      </c>
      <c r="H71" s="126">
        <f t="shared" ca="1" si="43"/>
        <v>0.20875029150899854</v>
      </c>
      <c r="I71" s="126">
        <f t="shared" ca="1" si="44"/>
        <v>90.176500000000019</v>
      </c>
      <c r="J71" s="129">
        <f t="shared" ca="1" si="45"/>
        <v>3.1826999999999988</v>
      </c>
      <c r="K71" s="1"/>
      <c r="L71" s="40">
        <f t="shared" si="31"/>
        <v>345.58610423253111</v>
      </c>
      <c r="M71" s="40">
        <f t="shared" si="32"/>
        <v>431.98263029066385</v>
      </c>
      <c r="N71" s="40">
        <f t="shared" si="33"/>
        <v>15.246445774964597</v>
      </c>
      <c r="O71" s="40">
        <f t="shared" si="34"/>
        <v>0.73</v>
      </c>
      <c r="P71" s="34">
        <f t="shared" si="42"/>
        <v>3.5000000000000003E-2</v>
      </c>
      <c r="Q71" s="34">
        <f t="shared" si="17"/>
        <v>2.9750000000000002E-2</v>
      </c>
      <c r="R71" s="126">
        <f t="shared" ca="1" si="46"/>
        <v>0.15978940603767933</v>
      </c>
      <c r="S71" s="126">
        <f t="shared" ca="1" si="47"/>
        <v>69.026247912739592</v>
      </c>
      <c r="T71" s="129">
        <f t="shared" ca="1" si="48"/>
        <v>2.4362205145672786</v>
      </c>
      <c r="U71" s="1"/>
      <c r="V71" s="40">
        <f t="shared" si="35"/>
        <v>899.19491198367359</v>
      </c>
      <c r="W71" s="40">
        <f t="shared" si="36"/>
        <v>1123.9936399795927</v>
      </c>
      <c r="X71" s="40">
        <f t="shared" si="37"/>
        <v>39.670363763985563</v>
      </c>
      <c r="Y71" s="40">
        <f t="shared" si="58"/>
        <v>0.73</v>
      </c>
      <c r="Z71" s="34">
        <v>2.5000000000000001E-2</v>
      </c>
      <c r="AA71" s="34">
        <f t="shared" si="19"/>
        <v>2.5000000000000001E-2</v>
      </c>
      <c r="AB71" s="126">
        <f t="shared" ca="1" si="49"/>
        <v>0.27016876294790132</v>
      </c>
      <c r="AC71" s="126">
        <f t="shared" ca="1" si="50"/>
        <v>303.66797127459529</v>
      </c>
      <c r="AD71" s="129">
        <f t="shared" ca="1" si="51"/>
        <v>10.71769310380923</v>
      </c>
      <c r="AE71" s="1"/>
      <c r="AF71" s="40">
        <f t="shared" si="38"/>
        <v>240.26217218172064</v>
      </c>
      <c r="AG71" s="40">
        <f t="shared" si="39"/>
        <v>300.32771522715063</v>
      </c>
      <c r="AH71" s="40">
        <f t="shared" si="40"/>
        <v>10.599801713899428</v>
      </c>
      <c r="AI71" s="40">
        <f t="shared" si="59"/>
        <v>0.73</v>
      </c>
      <c r="AJ71" s="34">
        <v>2.5000000000000001E-2</v>
      </c>
      <c r="AK71" s="34">
        <f t="shared" si="21"/>
        <v>2.5000000000000001E-2</v>
      </c>
      <c r="AL71" s="126">
        <f t="shared" ca="1" si="52"/>
        <v>0.27016876294790132</v>
      </c>
      <c r="AM71" s="126">
        <f t="shared" ca="1" si="53"/>
        <v>81.139167301888875</v>
      </c>
      <c r="AN71" s="129">
        <f t="shared" ca="1" si="54"/>
        <v>2.8637353165372526</v>
      </c>
      <c r="AO71" s="1"/>
      <c r="AP71" s="40">
        <f t="shared" si="60"/>
        <v>271.04748047471793</v>
      </c>
      <c r="AQ71" s="40">
        <f t="shared" si="25"/>
        <v>338.80935059339754</v>
      </c>
      <c r="AR71" s="40">
        <f t="shared" si="26"/>
        <v>10.961478989786395</v>
      </c>
      <c r="AS71" s="40">
        <f t="shared" si="61"/>
        <v>0.73</v>
      </c>
      <c r="AT71" s="34">
        <v>2.5000000000000001E-2</v>
      </c>
      <c r="AU71" s="34">
        <f t="shared" si="23"/>
        <v>2.5000000000000001E-2</v>
      </c>
      <c r="AV71" s="126">
        <f t="shared" ca="1" si="55"/>
        <v>0.27016876294790132</v>
      </c>
      <c r="AW71" s="126">
        <f t="shared" ca="1" si="56"/>
        <v>91.535703125000012</v>
      </c>
      <c r="AX71" s="129">
        <f t="shared" ca="1" si="57"/>
        <v>2.9614492187500012</v>
      </c>
      <c r="AY71" s="1"/>
      <c r="AZ71" s="1"/>
      <c r="BA71" s="1"/>
      <c r="BB71" s="1"/>
      <c r="BC71" s="1"/>
      <c r="BD71" s="1"/>
      <c r="BE71" s="1"/>
      <c r="BF71" s="1"/>
      <c r="BG71" s="1"/>
      <c r="BH71" s="1"/>
      <c r="BI71" s="1"/>
    </row>
    <row r="72" spans="1:61">
      <c r="A72" s="505">
        <f t="shared" si="24"/>
        <v>2080</v>
      </c>
      <c r="B72" s="40">
        <f t="shared" si="16"/>
        <v>355.95368735950706</v>
      </c>
      <c r="C72" s="40">
        <f t="shared" si="29"/>
        <v>444.94210919938376</v>
      </c>
      <c r="D72" s="40">
        <f t="shared" si="30"/>
        <v>15.703839148213536</v>
      </c>
      <c r="E72" s="40">
        <f t="shared" si="27"/>
        <v>0.73</v>
      </c>
      <c r="F72" s="34">
        <v>0.03</v>
      </c>
      <c r="G72" s="34">
        <f t="shared" si="41"/>
        <v>2.5000000000000001E-2</v>
      </c>
      <c r="H72" s="126">
        <f t="shared" ca="1" si="43"/>
        <v>0.20267018593106653</v>
      </c>
      <c r="I72" s="126">
        <f t="shared" ca="1" si="44"/>
        <v>90.176500000000019</v>
      </c>
      <c r="J72" s="129">
        <f t="shared" ca="1" si="45"/>
        <v>3.1826999999999988</v>
      </c>
      <c r="K72" s="1"/>
      <c r="L72" s="40">
        <f t="shared" si="31"/>
        <v>355.95368735950706</v>
      </c>
      <c r="M72" s="40">
        <f t="shared" si="32"/>
        <v>444.94210919938376</v>
      </c>
      <c r="N72" s="40">
        <f t="shared" si="33"/>
        <v>15.703839148213536</v>
      </c>
      <c r="O72" s="40">
        <f t="shared" si="34"/>
        <v>0.73</v>
      </c>
      <c r="P72" s="34">
        <f t="shared" si="42"/>
        <v>3.5000000000000003E-2</v>
      </c>
      <c r="Q72" s="34">
        <f t="shared" si="17"/>
        <v>2.9750000000000002E-2</v>
      </c>
      <c r="R72" s="126">
        <f t="shared" ca="1" si="46"/>
        <v>0.15438589955331336</v>
      </c>
      <c r="S72" s="126">
        <f t="shared" ca="1" si="47"/>
        <v>68.692787777895447</v>
      </c>
      <c r="T72" s="129">
        <f t="shared" ca="1" si="48"/>
        <v>2.4244513333374851</v>
      </c>
      <c r="U72" s="1"/>
      <c r="V72" s="40">
        <f t="shared" si="35"/>
        <v>936.53834247015971</v>
      </c>
      <c r="W72" s="40">
        <f t="shared" si="36"/>
        <v>1170.6729280877003</v>
      </c>
      <c r="X72" s="40">
        <f t="shared" si="37"/>
        <v>41.317868050154068</v>
      </c>
      <c r="Y72" s="40">
        <f t="shared" si="58"/>
        <v>0.73</v>
      </c>
      <c r="Z72" s="34">
        <v>2.5000000000000001E-2</v>
      </c>
      <c r="AA72" s="34">
        <f t="shared" si="19"/>
        <v>2.5000000000000001E-2</v>
      </c>
      <c r="AB72" s="126">
        <f t="shared" ca="1" si="49"/>
        <v>0.26357928092478178</v>
      </c>
      <c r="AC72" s="126">
        <f t="shared" ca="1" si="50"/>
        <v>308.5651285834648</v>
      </c>
      <c r="AD72" s="129">
        <f t="shared" ca="1" si="51"/>
        <v>10.890533950004624</v>
      </c>
      <c r="AE72" s="1"/>
      <c r="AF72" s="40">
        <f t="shared" si="38"/>
        <v>247.02582272597078</v>
      </c>
      <c r="AG72" s="40">
        <f t="shared" si="39"/>
        <v>308.78227840746331</v>
      </c>
      <c r="AH72" s="40">
        <f t="shared" si="40"/>
        <v>10.898198061439876</v>
      </c>
      <c r="AI72" s="40">
        <f t="shared" si="59"/>
        <v>0.73</v>
      </c>
      <c r="AJ72" s="34">
        <v>2.5000000000000001E-2</v>
      </c>
      <c r="AK72" s="34">
        <f t="shared" si="21"/>
        <v>2.5000000000000001E-2</v>
      </c>
      <c r="AL72" s="126">
        <f t="shared" ca="1" si="52"/>
        <v>0.26357928092478178</v>
      </c>
      <c r="AM72" s="126">
        <f t="shared" ca="1" si="53"/>
        <v>81.388610904954945</v>
      </c>
      <c r="AN72" s="129">
        <f t="shared" ca="1" si="54"/>
        <v>2.8725392084101733</v>
      </c>
      <c r="AO72" s="1"/>
      <c r="AP72" s="40">
        <f t="shared" si="60"/>
        <v>277.82366748658586</v>
      </c>
      <c r="AQ72" s="40">
        <f t="shared" si="25"/>
        <v>347.27958435823246</v>
      </c>
      <c r="AR72" s="40">
        <f t="shared" si="26"/>
        <v>11.235515964531054</v>
      </c>
      <c r="AS72" s="40">
        <f t="shared" si="61"/>
        <v>0.73</v>
      </c>
      <c r="AT72" s="34">
        <v>2.5000000000000001E-2</v>
      </c>
      <c r="AU72" s="34">
        <f t="shared" si="23"/>
        <v>2.5000000000000001E-2</v>
      </c>
      <c r="AV72" s="126">
        <f t="shared" ca="1" si="55"/>
        <v>0.26357928092478178</v>
      </c>
      <c r="AW72" s="126">
        <f t="shared" ca="1" si="56"/>
        <v>91.535703124999998</v>
      </c>
      <c r="AX72" s="129">
        <f t="shared" ca="1" si="57"/>
        <v>2.9614492187500012</v>
      </c>
      <c r="AY72" s="1"/>
      <c r="AZ72" s="1"/>
      <c r="BA72" s="1"/>
      <c r="BB72" s="1"/>
      <c r="BC72" s="1"/>
      <c r="BD72" s="1"/>
      <c r="BE72" s="1"/>
      <c r="BF72" s="1"/>
      <c r="BG72" s="1"/>
      <c r="BH72" s="1"/>
      <c r="BI72" s="1"/>
    </row>
    <row r="73" spans="1:61">
      <c r="A73" s="505">
        <f t="shared" si="24"/>
        <v>2081</v>
      </c>
      <c r="B73" s="40">
        <f t="shared" si="16"/>
        <v>366.63229798029226</v>
      </c>
      <c r="C73" s="40">
        <f t="shared" si="29"/>
        <v>458.2903724753653</v>
      </c>
      <c r="D73" s="40">
        <f t="shared" si="30"/>
        <v>16.174954322659943</v>
      </c>
      <c r="E73" s="40">
        <f t="shared" si="27"/>
        <v>0.73</v>
      </c>
      <c r="F73" s="34">
        <v>0.03</v>
      </c>
      <c r="G73" s="34">
        <f t="shared" si="41"/>
        <v>2.5000000000000001E-2</v>
      </c>
      <c r="H73" s="126">
        <f t="shared" ca="1" si="43"/>
        <v>0.19676717080686071</v>
      </c>
      <c r="I73" s="126">
        <f t="shared" ca="1" si="44"/>
        <v>90.176500000000019</v>
      </c>
      <c r="J73" s="129">
        <f t="shared" ca="1" si="45"/>
        <v>3.1826999999999988</v>
      </c>
      <c r="K73" s="1"/>
      <c r="L73" s="40">
        <f t="shared" si="31"/>
        <v>366.63229798029226</v>
      </c>
      <c r="M73" s="40">
        <f t="shared" si="32"/>
        <v>458.2903724753653</v>
      </c>
      <c r="N73" s="40">
        <f t="shared" si="33"/>
        <v>16.174954322659943</v>
      </c>
      <c r="O73" s="40">
        <f t="shared" si="34"/>
        <v>0.73</v>
      </c>
      <c r="P73" s="34">
        <f t="shared" si="42"/>
        <v>3.5000000000000003E-2</v>
      </c>
      <c r="Q73" s="34">
        <f t="shared" si="17"/>
        <v>2.9750000000000002E-2</v>
      </c>
      <c r="R73" s="126">
        <f t="shared" ca="1" si="46"/>
        <v>0.14916512034136559</v>
      </c>
      <c r="S73" s="126">
        <f t="shared" ca="1" si="47"/>
        <v>68.360938561577129</v>
      </c>
      <c r="T73" s="129">
        <f t="shared" ca="1" si="48"/>
        <v>2.4127390080556617</v>
      </c>
      <c r="U73" s="1"/>
      <c r="V73" s="40">
        <f t="shared" si="35"/>
        <v>975.31310336504976</v>
      </c>
      <c r="W73" s="40">
        <f t="shared" si="36"/>
        <v>1219.1413792063129</v>
      </c>
      <c r="X73" s="40">
        <f t="shared" si="37"/>
        <v>43.028519266105093</v>
      </c>
      <c r="Y73" s="40">
        <f t="shared" si="58"/>
        <v>0.73</v>
      </c>
      <c r="Z73" s="34">
        <v>2.5000000000000001E-2</v>
      </c>
      <c r="AA73" s="34">
        <f t="shared" si="19"/>
        <v>2.5000000000000001E-2</v>
      </c>
      <c r="AB73" s="126">
        <f t="shared" ca="1" si="49"/>
        <v>0.2571505179753969</v>
      </c>
      <c r="AC73" s="126">
        <f t="shared" ca="1" si="50"/>
        <v>313.5028371481431</v>
      </c>
      <c r="AD73" s="129">
        <f t="shared" ca="1" si="51"/>
        <v>11.06480601699327</v>
      </c>
      <c r="AE73" s="1"/>
      <c r="AF73" s="40">
        <f t="shared" si="38"/>
        <v>253.99904600586643</v>
      </c>
      <c r="AG73" s="40">
        <f t="shared" si="39"/>
        <v>317.49880750733291</v>
      </c>
      <c r="AH73" s="40">
        <f t="shared" si="40"/>
        <v>11.205840264964685</v>
      </c>
      <c r="AI73" s="40">
        <f t="shared" si="59"/>
        <v>0.73</v>
      </c>
      <c r="AJ73" s="34">
        <v>2.5000000000000001E-2</v>
      </c>
      <c r="AK73" s="34">
        <f t="shared" si="21"/>
        <v>2.5000000000000001E-2</v>
      </c>
      <c r="AL73" s="126">
        <f t="shared" ca="1" si="52"/>
        <v>0.2571505179753969</v>
      </c>
      <c r="AM73" s="126">
        <f t="shared" ca="1" si="53"/>
        <v>81.64498280708149</v>
      </c>
      <c r="AN73" s="129">
        <f t="shared" ca="1" si="54"/>
        <v>2.8815876284852275</v>
      </c>
      <c r="AO73" s="1"/>
      <c r="AP73" s="40">
        <f t="shared" si="60"/>
        <v>284.76925917375047</v>
      </c>
      <c r="AQ73" s="40">
        <f t="shared" si="25"/>
        <v>355.96157396718826</v>
      </c>
      <c r="AR73" s="40">
        <f t="shared" si="26"/>
        <v>11.51640386364433</v>
      </c>
      <c r="AS73" s="40">
        <f t="shared" si="61"/>
        <v>0.73</v>
      </c>
      <c r="AT73" s="34">
        <v>2.5000000000000001E-2</v>
      </c>
      <c r="AU73" s="34">
        <f t="shared" si="23"/>
        <v>2.5000000000000001E-2</v>
      </c>
      <c r="AV73" s="126">
        <f t="shared" ca="1" si="55"/>
        <v>0.2571505179753969</v>
      </c>
      <c r="AW73" s="126">
        <f t="shared" ca="1" si="56"/>
        <v>91.535703125000012</v>
      </c>
      <c r="AX73" s="129">
        <f t="shared" ca="1" si="57"/>
        <v>2.9614492187500017</v>
      </c>
      <c r="AY73" s="1"/>
      <c r="AZ73" s="1"/>
      <c r="BA73" s="1"/>
      <c r="BB73" s="1"/>
      <c r="BC73" s="1"/>
      <c r="BD73" s="1"/>
      <c r="BE73" s="1"/>
      <c r="BF73" s="1"/>
      <c r="BG73" s="1"/>
      <c r="BH73" s="1"/>
      <c r="BI73" s="1"/>
    </row>
    <row r="74" spans="1:61">
      <c r="A74" s="505">
        <f t="shared" si="24"/>
        <v>2082</v>
      </c>
      <c r="B74" s="40">
        <f t="shared" si="16"/>
        <v>377.63126691970103</v>
      </c>
      <c r="C74" s="40">
        <f t="shared" si="29"/>
        <v>472.03908364962626</v>
      </c>
      <c r="D74" s="40">
        <f t="shared" si="30"/>
        <v>16.660202952339741</v>
      </c>
      <c r="E74" s="40">
        <f t="shared" si="27"/>
        <v>0.73</v>
      </c>
      <c r="F74" s="34">
        <v>0.03</v>
      </c>
      <c r="G74" s="34">
        <f t="shared" si="41"/>
        <v>2.5000000000000001E-2</v>
      </c>
      <c r="H74" s="126">
        <f t="shared" ca="1" si="43"/>
        <v>0.19103608816200068</v>
      </c>
      <c r="I74" s="126">
        <f t="shared" ca="1" si="44"/>
        <v>90.176500000000019</v>
      </c>
      <c r="J74" s="129">
        <f t="shared" ca="1" si="45"/>
        <v>3.1826999999999988</v>
      </c>
      <c r="K74" s="1"/>
      <c r="L74" s="40">
        <f t="shared" si="31"/>
        <v>377.63126691970103</v>
      </c>
      <c r="M74" s="40">
        <f t="shared" si="32"/>
        <v>472.03908364962626</v>
      </c>
      <c r="N74" s="40">
        <f t="shared" si="33"/>
        <v>16.660202952339741</v>
      </c>
      <c r="O74" s="40">
        <f t="shared" si="34"/>
        <v>0.73</v>
      </c>
      <c r="P74" s="34">
        <f t="shared" si="42"/>
        <v>3.5000000000000003E-2</v>
      </c>
      <c r="Q74" s="34">
        <f t="shared" si="17"/>
        <v>2.9750000000000002E-2</v>
      </c>
      <c r="R74" s="126">
        <f t="shared" ca="1" si="46"/>
        <v>0.14412088921871072</v>
      </c>
      <c r="S74" s="126">
        <f t="shared" ca="1" si="47"/>
        <v>68.030692481569503</v>
      </c>
      <c r="T74" s="129">
        <f t="shared" ca="1" si="48"/>
        <v>2.401083264055393</v>
      </c>
      <c r="U74" s="1"/>
      <c r="V74" s="40">
        <f t="shared" si="35"/>
        <v>1015.5714654054101</v>
      </c>
      <c r="W74" s="40">
        <f t="shared" si="36"/>
        <v>1269.4643317567632</v>
      </c>
      <c r="X74" s="40">
        <f t="shared" si="37"/>
        <v>44.804623473768046</v>
      </c>
      <c r="Y74" s="40">
        <f t="shared" si="58"/>
        <v>0.73</v>
      </c>
      <c r="Z74" s="34">
        <v>2.5000000000000001E-2</v>
      </c>
      <c r="AA74" s="34">
        <f t="shared" si="19"/>
        <v>2.5000000000000001E-2</v>
      </c>
      <c r="AB74" s="126">
        <f t="shared" ca="1" si="49"/>
        <v>0.25087855412233845</v>
      </c>
      <c r="AC74" s="126">
        <f t="shared" ca="1" si="50"/>
        <v>318.48137606101733</v>
      </c>
      <c r="AD74" s="129">
        <f t="shared" ca="1" si="51"/>
        <v>11.240519155094713</v>
      </c>
      <c r="AE74" s="1"/>
      <c r="AF74" s="40">
        <f t="shared" si="38"/>
        <v>261.18802925518719</v>
      </c>
      <c r="AG74" s="40">
        <f t="shared" si="39"/>
        <v>326.4850365689839</v>
      </c>
      <c r="AH74" s="40">
        <f t="shared" si="40"/>
        <v>11.523001290670013</v>
      </c>
      <c r="AI74" s="40">
        <f t="shared" si="59"/>
        <v>0.73</v>
      </c>
      <c r="AJ74" s="34">
        <v>2.5000000000000001E-2</v>
      </c>
      <c r="AK74" s="34">
        <f t="shared" si="21"/>
        <v>2.5000000000000001E-2</v>
      </c>
      <c r="AL74" s="126">
        <f t="shared" ca="1" si="52"/>
        <v>0.25087855412233845</v>
      </c>
      <c r="AM74" s="126">
        <f t="shared" ca="1" si="53"/>
        <v>81.908093917005473</v>
      </c>
      <c r="AN74" s="129">
        <f t="shared" ca="1" si="54"/>
        <v>2.8908739029531327</v>
      </c>
      <c r="AO74" s="1"/>
      <c r="AP74" s="40">
        <f t="shared" si="60"/>
        <v>291.88849065309421</v>
      </c>
      <c r="AQ74" s="40">
        <f t="shared" si="25"/>
        <v>364.86061331636796</v>
      </c>
      <c r="AR74" s="40">
        <f t="shared" si="26"/>
        <v>11.804313960235437</v>
      </c>
      <c r="AS74" s="40">
        <f t="shared" si="61"/>
        <v>0.73</v>
      </c>
      <c r="AT74" s="34">
        <v>2.5000000000000001E-2</v>
      </c>
      <c r="AU74" s="34">
        <f t="shared" si="23"/>
        <v>2.5000000000000001E-2</v>
      </c>
      <c r="AV74" s="126">
        <f t="shared" ca="1" si="55"/>
        <v>0.25087855412233845</v>
      </c>
      <c r="AW74" s="126">
        <f t="shared" ca="1" si="56"/>
        <v>91.535703125000026</v>
      </c>
      <c r="AX74" s="129">
        <f t="shared" ca="1" si="57"/>
        <v>2.9614492187500012</v>
      </c>
      <c r="AY74" s="1"/>
      <c r="AZ74" s="1"/>
      <c r="BA74" s="1"/>
      <c r="BB74" s="1"/>
      <c r="BC74" s="1"/>
      <c r="BD74" s="1"/>
      <c r="BE74" s="1"/>
      <c r="BF74" s="1"/>
      <c r="BG74" s="1"/>
      <c r="BH74" s="1"/>
      <c r="BI74" s="1"/>
    </row>
    <row r="75" spans="1:61">
      <c r="A75" s="505">
        <f t="shared" si="24"/>
        <v>2083</v>
      </c>
      <c r="B75" s="40">
        <f t="shared" si="16"/>
        <v>388.96020492729207</v>
      </c>
      <c r="C75" s="40">
        <f t="shared" si="29"/>
        <v>486.20025615911504</v>
      </c>
      <c r="D75" s="40">
        <f t="shared" si="30"/>
        <v>17.160009040909934</v>
      </c>
      <c r="E75" s="40">
        <f t="shared" si="27"/>
        <v>0.73</v>
      </c>
      <c r="F75" s="34">
        <v>0.03</v>
      </c>
      <c r="G75" s="34">
        <f t="shared" si="41"/>
        <v>2.5000000000000001E-2</v>
      </c>
      <c r="H75" s="126">
        <f t="shared" ca="1" si="43"/>
        <v>0.18547193025436959</v>
      </c>
      <c r="I75" s="126">
        <f t="shared" ca="1" si="44"/>
        <v>90.176500000000019</v>
      </c>
      <c r="J75" s="129">
        <f t="shared" ca="1" si="45"/>
        <v>3.1826999999999988</v>
      </c>
      <c r="K75" s="1"/>
      <c r="L75" s="40">
        <f t="shared" si="31"/>
        <v>388.96020492729207</v>
      </c>
      <c r="M75" s="40">
        <f t="shared" si="32"/>
        <v>486.20025615911504</v>
      </c>
      <c r="N75" s="40">
        <f t="shared" si="33"/>
        <v>17.160009040909934</v>
      </c>
      <c r="O75" s="40">
        <f t="shared" si="34"/>
        <v>0.73</v>
      </c>
      <c r="P75" s="34">
        <f t="shared" si="42"/>
        <v>3.5000000000000003E-2</v>
      </c>
      <c r="Q75" s="34">
        <f t="shared" si="17"/>
        <v>2.9750000000000002E-2</v>
      </c>
      <c r="R75" s="126">
        <f t="shared" ca="1" si="46"/>
        <v>0.13924723596010699</v>
      </c>
      <c r="S75" s="126">
        <f t="shared" ca="1" si="47"/>
        <v>67.702041793252761</v>
      </c>
      <c r="T75" s="129">
        <f t="shared" ca="1" si="48"/>
        <v>2.3894838279971546</v>
      </c>
      <c r="U75" s="1"/>
      <c r="V75" s="40">
        <f t="shared" si="35"/>
        <v>1057.3675473751634</v>
      </c>
      <c r="W75" s="40">
        <f t="shared" si="36"/>
        <v>1321.7094342189548</v>
      </c>
      <c r="X75" s="40">
        <f t="shared" si="37"/>
        <v>46.64856826655128</v>
      </c>
      <c r="Y75" s="40">
        <f t="shared" si="58"/>
        <v>0.73</v>
      </c>
      <c r="Z75" s="34">
        <v>2.5000000000000001E-2</v>
      </c>
      <c r="AA75" s="34">
        <f t="shared" si="19"/>
        <v>2.5000000000000001E-2</v>
      </c>
      <c r="AB75" s="126">
        <f t="shared" ca="1" si="49"/>
        <v>0.24475956499740339</v>
      </c>
      <c r="AC75" s="126">
        <f t="shared" ca="1" si="50"/>
        <v>323.50102617239554</v>
      </c>
      <c r="AD75" s="129">
        <f t="shared" ca="1" si="51"/>
        <v>11.417683276672767</v>
      </c>
      <c r="AE75" s="1"/>
      <c r="AF75" s="40">
        <f t="shared" si="38"/>
        <v>268.59914682395043</v>
      </c>
      <c r="AG75" s="40">
        <f t="shared" si="39"/>
        <v>335.74893352993791</v>
      </c>
      <c r="AH75" s="40">
        <f t="shared" si="40"/>
        <v>11.849962359880156</v>
      </c>
      <c r="AI75" s="40">
        <f t="shared" si="59"/>
        <v>0.73</v>
      </c>
      <c r="AJ75" s="34">
        <v>2.5000000000000001E-2</v>
      </c>
      <c r="AK75" s="34">
        <f t="shared" si="21"/>
        <v>2.5000000000000001E-2</v>
      </c>
      <c r="AL75" s="126">
        <f t="shared" ca="1" si="52"/>
        <v>0.24475956499740339</v>
      </c>
      <c r="AM75" s="126">
        <f t="shared" ca="1" si="53"/>
        <v>82.177762919129705</v>
      </c>
      <c r="AN75" s="129">
        <f t="shared" ca="1" si="54"/>
        <v>2.9003916324398706</v>
      </c>
      <c r="AO75" s="1"/>
      <c r="AP75" s="40">
        <f t="shared" si="60"/>
        <v>299.18570291942154</v>
      </c>
      <c r="AQ75" s="40">
        <f t="shared" si="25"/>
        <v>373.98212864927712</v>
      </c>
      <c r="AR75" s="40">
        <f t="shared" si="26"/>
        <v>12.099421809241321</v>
      </c>
      <c r="AS75" s="40">
        <f t="shared" si="61"/>
        <v>0.73</v>
      </c>
      <c r="AT75" s="34">
        <v>2.5000000000000001E-2</v>
      </c>
      <c r="AU75" s="34">
        <f t="shared" si="23"/>
        <v>2.5000000000000001E-2</v>
      </c>
      <c r="AV75" s="126">
        <f t="shared" ca="1" si="55"/>
        <v>0.24475956499740339</v>
      </c>
      <c r="AW75" s="126">
        <f t="shared" ca="1" si="56"/>
        <v>91.535703125000026</v>
      </c>
      <c r="AX75" s="129">
        <f t="shared" ca="1" si="57"/>
        <v>2.9614492187500012</v>
      </c>
      <c r="AY75" s="1"/>
      <c r="AZ75" s="1"/>
      <c r="BA75" s="1"/>
      <c r="BB75" s="1"/>
      <c r="BC75" s="1"/>
      <c r="BD75" s="1"/>
      <c r="BE75" s="1"/>
      <c r="BF75" s="1"/>
      <c r="BG75" s="1"/>
      <c r="BH75" s="1"/>
      <c r="BI75" s="1"/>
    </row>
    <row r="76" spans="1:61">
      <c r="A76" s="505">
        <f t="shared" si="24"/>
        <v>2084</v>
      </c>
      <c r="B76" s="40">
        <f t="shared" si="16"/>
        <v>400.62901107511084</v>
      </c>
      <c r="C76" s="40">
        <f t="shared" si="29"/>
        <v>500.78626384388849</v>
      </c>
      <c r="D76" s="40">
        <f t="shared" si="30"/>
        <v>17.674809312137231</v>
      </c>
      <c r="E76" s="40">
        <f t="shared" si="27"/>
        <v>0.73</v>
      </c>
      <c r="F76" s="34">
        <v>0.03</v>
      </c>
      <c r="G76" s="34">
        <f t="shared" si="41"/>
        <v>2.5000000000000001E-2</v>
      </c>
      <c r="H76" s="126">
        <f t="shared" ref="H76:H85" ca="1" si="62">IF($A76=current_year,1,IF($A76&lt;current_year,H77*(1+F76),H75/(1+F76)))</f>
        <v>0.18006983519841707</v>
      </c>
      <c r="I76" s="126">
        <f t="shared" ref="I76:I85" ca="1" si="63">C76*H76</f>
        <v>90.176500000000004</v>
      </c>
      <c r="J76" s="129">
        <f t="shared" ref="J76:J85" ca="1" si="64">D76*H76</f>
        <v>3.1826999999999988</v>
      </c>
      <c r="K76" s="1"/>
      <c r="L76" s="40">
        <f t="shared" si="31"/>
        <v>400.62901107511084</v>
      </c>
      <c r="M76" s="40">
        <f t="shared" si="32"/>
        <v>500.78626384388849</v>
      </c>
      <c r="N76" s="40">
        <f t="shared" si="33"/>
        <v>17.674809312137231</v>
      </c>
      <c r="O76" s="40">
        <f t="shared" si="34"/>
        <v>0.73</v>
      </c>
      <c r="P76" s="34">
        <f t="shared" si="42"/>
        <v>3.5000000000000003E-2</v>
      </c>
      <c r="Q76" s="34">
        <f t="shared" si="17"/>
        <v>2.9750000000000002E-2</v>
      </c>
      <c r="R76" s="126">
        <f t="shared" ref="R76:R85" ca="1" si="65">IF($A76=current_year,1,IF($A76&lt;current_year,R77*(1+P76),R75/(1+P76)))</f>
        <v>0.13453839223198744</v>
      </c>
      <c r="S76" s="126">
        <f t="shared" ref="S76:S85" ca="1" si="66">M76*R76</f>
        <v>67.374978789420624</v>
      </c>
      <c r="T76" s="129">
        <f t="shared" ref="T76:T85" ca="1" si="67">N76*R76</f>
        <v>2.377940427861903</v>
      </c>
      <c r="U76" s="1"/>
      <c r="V76" s="40">
        <f t="shared" si="35"/>
        <v>1100.7573799442371</v>
      </c>
      <c r="W76" s="40">
        <f t="shared" si="36"/>
        <v>1375.946724930297</v>
      </c>
      <c r="X76" s="40">
        <f t="shared" si="37"/>
        <v>48.562825585775116</v>
      </c>
      <c r="Y76" s="40">
        <f t="shared" si="58"/>
        <v>0.73</v>
      </c>
      <c r="Z76" s="34">
        <v>2.5000000000000001E-2</v>
      </c>
      <c r="AA76" s="34">
        <f t="shared" si="19"/>
        <v>2.5000000000000001E-2</v>
      </c>
      <c r="AB76" s="126">
        <f t="shared" ref="AB76:AB85" ca="1" si="68">IF($A76=current_year,1,IF($A76&lt;current_year,AB77*(1+Z76),AB75/(1+Z76)))</f>
        <v>0.23878981950966188</v>
      </c>
      <c r="AC76" s="126">
        <f t="shared" ref="AC76:AC85" ca="1" si="69">W76*AB76</f>
        <v>328.56207010101599</v>
      </c>
      <c r="AD76" s="129">
        <f t="shared" ref="AD76:AD85" ca="1" si="70">X76*AB76</f>
        <v>11.59630835650643</v>
      </c>
      <c r="AE76" s="1"/>
      <c r="AF76" s="40">
        <f t="shared" si="38"/>
        <v>276.23896576940996</v>
      </c>
      <c r="AG76" s="40">
        <f t="shared" si="39"/>
        <v>345.29870721176229</v>
      </c>
      <c r="AH76" s="40">
        <f t="shared" si="40"/>
        <v>12.18701319570925</v>
      </c>
      <c r="AI76" s="40">
        <f t="shared" si="59"/>
        <v>0.73</v>
      </c>
      <c r="AJ76" s="34">
        <v>2.5000000000000001E-2</v>
      </c>
      <c r="AK76" s="34">
        <f t="shared" si="21"/>
        <v>2.5000000000000001E-2</v>
      </c>
      <c r="AL76" s="126">
        <f t="shared" ref="AL76:AL85" ca="1" si="71">IF($A76=current_year,1,IF($A76&lt;current_year,AL77*(1+AJ76),AL75/(1+AJ76)))</f>
        <v>0.23878981950966188</v>
      </c>
      <c r="AM76" s="126">
        <f t="shared" ref="AM76:AM85" ca="1" si="72">AG76*AL76</f>
        <v>82.453815972016301</v>
      </c>
      <c r="AN76" s="129">
        <f t="shared" ref="AN76:AN85" ca="1" si="73">AH76*AL76</f>
        <v>2.9101346813652795</v>
      </c>
      <c r="AO76" s="1"/>
      <c r="AP76" s="40">
        <f t="shared" si="60"/>
        <v>306.66534549240708</v>
      </c>
      <c r="AQ76" s="40">
        <f t="shared" si="25"/>
        <v>383.33168186550898</v>
      </c>
      <c r="AR76" s="40">
        <f t="shared" si="26"/>
        <v>12.401907354472353</v>
      </c>
      <c r="AS76" s="40">
        <f t="shared" si="61"/>
        <v>0.73</v>
      </c>
      <c r="AT76" s="34">
        <v>2.5000000000000001E-2</v>
      </c>
      <c r="AU76" s="34">
        <f t="shared" si="23"/>
        <v>2.5000000000000001E-2</v>
      </c>
      <c r="AV76" s="126">
        <f t="shared" ref="AV76:AV85" ca="1" si="74">IF($A76=current_year,1,IF($A76&lt;current_year,AV77*(1+AT76),AV75/(1+AT76)))</f>
        <v>0.23878981950966188</v>
      </c>
      <c r="AW76" s="126">
        <f t="shared" ref="AW76:AW85" ca="1" si="75">AQ76*AV76</f>
        <v>91.535703125000026</v>
      </c>
      <c r="AX76" s="129">
        <f t="shared" ref="AX76:AX85" ca="1" si="76">AR76*AV76</f>
        <v>2.9614492187500017</v>
      </c>
      <c r="AY76" s="1"/>
      <c r="AZ76" s="1"/>
      <c r="BA76" s="1"/>
      <c r="BB76" s="1"/>
      <c r="BC76" s="1"/>
      <c r="BD76" s="1"/>
      <c r="BE76" s="1"/>
      <c r="BF76" s="1"/>
      <c r="BG76" s="1"/>
      <c r="BH76" s="1"/>
      <c r="BI76" s="1"/>
    </row>
    <row r="77" spans="1:61">
      <c r="A77" s="505">
        <f t="shared" si="24"/>
        <v>2085</v>
      </c>
      <c r="B77" s="40">
        <f t="shared" ref="B77:B85" si="77">C77*0.8</f>
        <v>412.64788140736414</v>
      </c>
      <c r="C77" s="40">
        <f t="shared" si="29"/>
        <v>515.80985175920512</v>
      </c>
      <c r="D77" s="40">
        <f t="shared" si="30"/>
        <v>18.20505359150135</v>
      </c>
      <c r="E77" s="40">
        <f t="shared" si="27"/>
        <v>0.73</v>
      </c>
      <c r="F77" s="34">
        <v>0.03</v>
      </c>
      <c r="G77" s="34">
        <f t="shared" si="41"/>
        <v>2.5000000000000001E-2</v>
      </c>
      <c r="H77" s="126">
        <f t="shared" ca="1" si="62"/>
        <v>0.17482508271690977</v>
      </c>
      <c r="I77" s="126">
        <f t="shared" ca="1" si="63"/>
        <v>90.176500000000004</v>
      </c>
      <c r="J77" s="129">
        <f t="shared" ca="1" si="64"/>
        <v>3.1826999999999988</v>
      </c>
      <c r="K77" s="1"/>
      <c r="L77" s="40">
        <f t="shared" si="31"/>
        <v>412.64788140736414</v>
      </c>
      <c r="M77" s="40">
        <f t="shared" si="32"/>
        <v>515.80985175920512</v>
      </c>
      <c r="N77" s="40">
        <f t="shared" si="33"/>
        <v>18.20505359150135</v>
      </c>
      <c r="O77" s="40">
        <f t="shared" si="34"/>
        <v>0.73</v>
      </c>
      <c r="P77" s="34">
        <f t="shared" si="42"/>
        <v>3.5000000000000003E-2</v>
      </c>
      <c r="Q77" s="34">
        <f t="shared" ref="Q77:Q85" si="78">P77*0.85</f>
        <v>2.9750000000000002E-2</v>
      </c>
      <c r="R77" s="126">
        <f t="shared" ca="1" si="65"/>
        <v>0.12998878476520526</v>
      </c>
      <c r="S77" s="126">
        <f t="shared" ca="1" si="66"/>
        <v>67.049495800099749</v>
      </c>
      <c r="T77" s="129">
        <f t="shared" ca="1" si="67"/>
        <v>2.3664527929446959</v>
      </c>
      <c r="U77" s="1"/>
      <c r="V77" s="40">
        <f t="shared" si="35"/>
        <v>1145.7989716748175</v>
      </c>
      <c r="W77" s="40">
        <f t="shared" si="36"/>
        <v>1432.2487145935224</v>
      </c>
      <c r="X77" s="40">
        <f t="shared" si="37"/>
        <v>50.549954632712492</v>
      </c>
      <c r="Y77" s="40">
        <f t="shared" si="58"/>
        <v>0.73</v>
      </c>
      <c r="Z77" s="34">
        <v>2.5000000000000001E-2</v>
      </c>
      <c r="AA77" s="34">
        <f t="shared" ref="AA77:AA85" si="79">AA76</f>
        <v>2.5000000000000001E-2</v>
      </c>
      <c r="AB77" s="126">
        <f t="shared" ca="1" si="68"/>
        <v>0.23296567757040185</v>
      </c>
      <c r="AC77" s="126">
        <f t="shared" ca="1" si="69"/>
        <v>333.66479224461705</v>
      </c>
      <c r="AD77" s="129">
        <f t="shared" ca="1" si="70"/>
        <v>11.77640443216294</v>
      </c>
      <c r="AE77" s="1"/>
      <c r="AF77" s="40">
        <f t="shared" si="38"/>
        <v>284.1142516151221</v>
      </c>
      <c r="AG77" s="40">
        <f t="shared" si="39"/>
        <v>355.14281451890247</v>
      </c>
      <c r="AH77" s="40">
        <f t="shared" si="40"/>
        <v>12.53445227713773</v>
      </c>
      <c r="AI77" s="40">
        <f t="shared" si="59"/>
        <v>0.73</v>
      </c>
      <c r="AJ77" s="34">
        <v>2.5000000000000001E-2</v>
      </c>
      <c r="AK77" s="34">
        <f t="shared" ref="AK77:AK85" si="80">AK76</f>
        <v>2.5000000000000001E-2</v>
      </c>
      <c r="AL77" s="126">
        <f t="shared" ca="1" si="71"/>
        <v>0.23296567757040185</v>
      </c>
      <c r="AM77" s="126">
        <f t="shared" ca="1" si="72"/>
        <v>82.73608641865566</v>
      </c>
      <c r="AN77" s="129">
        <f t="shared" ca="1" si="73"/>
        <v>2.9200971677172576</v>
      </c>
      <c r="AO77" s="1"/>
      <c r="AP77" s="40">
        <f t="shared" si="60"/>
        <v>314.33197912971724</v>
      </c>
      <c r="AQ77" s="40">
        <f t="shared" si="25"/>
        <v>392.91497391214665</v>
      </c>
      <c r="AR77" s="40">
        <f t="shared" si="26"/>
        <v>12.71195503833416</v>
      </c>
      <c r="AS77" s="40">
        <f t="shared" si="61"/>
        <v>0.73</v>
      </c>
      <c r="AT77" s="34">
        <v>2.5000000000000001E-2</v>
      </c>
      <c r="AU77" s="34">
        <f t="shared" ref="AU77:AU85" si="81">AU76</f>
        <v>2.5000000000000001E-2</v>
      </c>
      <c r="AV77" s="126">
        <f t="shared" ca="1" si="74"/>
        <v>0.23296567757040185</v>
      </c>
      <c r="AW77" s="126">
        <f t="shared" ca="1" si="75"/>
        <v>91.535703125000012</v>
      </c>
      <c r="AX77" s="129">
        <f t="shared" ca="1" si="76"/>
        <v>2.9614492187500012</v>
      </c>
      <c r="AY77" s="1"/>
      <c r="AZ77" s="1"/>
      <c r="BA77" s="1"/>
      <c r="BB77" s="1"/>
      <c r="BC77" s="1"/>
      <c r="BD77" s="1"/>
      <c r="BE77" s="1"/>
      <c r="BF77" s="1"/>
      <c r="BG77" s="1"/>
      <c r="BH77" s="1"/>
      <c r="BI77" s="1"/>
    </row>
    <row r="78" spans="1:61">
      <c r="A78" s="505">
        <f t="shared" ref="A78:A85" si="82">A77+1</f>
        <v>2086</v>
      </c>
      <c r="B78" s="40">
        <f t="shared" si="77"/>
        <v>425.02731784958507</v>
      </c>
      <c r="C78" s="40">
        <f t="shared" si="29"/>
        <v>531.28414731198131</v>
      </c>
      <c r="D78" s="40">
        <f t="shared" si="30"/>
        <v>18.751205199246392</v>
      </c>
      <c r="E78" s="40">
        <f t="shared" si="27"/>
        <v>0.73</v>
      </c>
      <c r="F78" s="34">
        <v>0.03</v>
      </c>
      <c r="G78" s="34">
        <f t="shared" si="41"/>
        <v>2.5000000000000001E-2</v>
      </c>
      <c r="H78" s="126">
        <f t="shared" ca="1" si="62"/>
        <v>0.16973309001641726</v>
      </c>
      <c r="I78" s="126">
        <f t="shared" ca="1" si="63"/>
        <v>90.176500000000019</v>
      </c>
      <c r="J78" s="129">
        <f t="shared" ca="1" si="64"/>
        <v>3.1826999999999992</v>
      </c>
      <c r="K78" s="1"/>
      <c r="L78" s="40">
        <f t="shared" si="31"/>
        <v>425.02731784958507</v>
      </c>
      <c r="M78" s="40">
        <f t="shared" si="32"/>
        <v>531.28414731198131</v>
      </c>
      <c r="N78" s="40">
        <f t="shared" si="33"/>
        <v>18.751205199246392</v>
      </c>
      <c r="O78" s="40">
        <f t="shared" si="34"/>
        <v>0.73</v>
      </c>
      <c r="P78" s="34">
        <f t="shared" si="42"/>
        <v>3.5000000000000003E-2</v>
      </c>
      <c r="Q78" s="34">
        <f t="shared" si="78"/>
        <v>2.9750000000000002E-2</v>
      </c>
      <c r="R78" s="126">
        <f t="shared" ca="1" si="65"/>
        <v>0.12559302875865244</v>
      </c>
      <c r="S78" s="126">
        <f t="shared" ca="1" si="66"/>
        <v>66.725585192369806</v>
      </c>
      <c r="T78" s="129">
        <f t="shared" ca="1" si="67"/>
        <v>2.3550206538483454</v>
      </c>
      <c r="U78" s="1"/>
      <c r="V78" s="40">
        <f t="shared" si="35"/>
        <v>1192.5523772672832</v>
      </c>
      <c r="W78" s="40">
        <f t="shared" si="36"/>
        <v>1490.6904715841042</v>
      </c>
      <c r="X78" s="40">
        <f t="shared" si="37"/>
        <v>52.612604879438905</v>
      </c>
      <c r="Y78" s="40">
        <f t="shared" si="58"/>
        <v>0.73</v>
      </c>
      <c r="Z78" s="34">
        <v>2.5000000000000001E-2</v>
      </c>
      <c r="AA78" s="34">
        <f t="shared" si="79"/>
        <v>2.5000000000000001E-2</v>
      </c>
      <c r="AB78" s="126">
        <f t="shared" ca="1" si="68"/>
        <v>0.22728358787356279</v>
      </c>
      <c r="AC78" s="126">
        <f t="shared" ca="1" si="69"/>
        <v>338.80947879056851</v>
      </c>
      <c r="AD78" s="129">
        <f t="shared" ca="1" si="70"/>
        <v>11.957981604372991</v>
      </c>
      <c r="AE78" s="1"/>
      <c r="AF78" s="40">
        <f t="shared" si="38"/>
        <v>292.23197428311619</v>
      </c>
      <c r="AG78" s="40">
        <f t="shared" si="39"/>
        <v>365.28996785389512</v>
      </c>
      <c r="AH78" s="40">
        <f t="shared" si="40"/>
        <v>12.892587100725706</v>
      </c>
      <c r="AI78" s="40">
        <f t="shared" si="59"/>
        <v>0.73</v>
      </c>
      <c r="AJ78" s="34">
        <v>2.5000000000000001E-2</v>
      </c>
      <c r="AK78" s="34">
        <f t="shared" si="80"/>
        <v>2.5000000000000001E-2</v>
      </c>
      <c r="AL78" s="126">
        <f t="shared" ca="1" si="71"/>
        <v>0.22728358787356279</v>
      </c>
      <c r="AM78" s="126">
        <f t="shared" ca="1" si="72"/>
        <v>83.024414508051692</v>
      </c>
      <c r="AN78" s="129">
        <f t="shared" ca="1" si="73"/>
        <v>2.9302734532253529</v>
      </c>
      <c r="AO78" s="1"/>
      <c r="AP78" s="40">
        <f t="shared" si="60"/>
        <v>322.19027860796012</v>
      </c>
      <c r="AQ78" s="40">
        <f t="shared" si="25"/>
        <v>402.73784825995028</v>
      </c>
      <c r="AR78" s="40">
        <f t="shared" si="26"/>
        <v>13.029753914292513</v>
      </c>
      <c r="AS78" s="40">
        <f t="shared" si="61"/>
        <v>0.73</v>
      </c>
      <c r="AT78" s="34">
        <v>2.5000000000000001E-2</v>
      </c>
      <c r="AU78" s="34">
        <f t="shared" si="81"/>
        <v>2.5000000000000001E-2</v>
      </c>
      <c r="AV78" s="126">
        <f t="shared" ca="1" si="74"/>
        <v>0.22728358787356279</v>
      </c>
      <c r="AW78" s="126">
        <f t="shared" ca="1" si="75"/>
        <v>91.535703125000012</v>
      </c>
      <c r="AX78" s="129">
        <f t="shared" ca="1" si="76"/>
        <v>2.9614492187500012</v>
      </c>
      <c r="AY78" s="1"/>
      <c r="AZ78" s="1"/>
      <c r="BA78" s="1"/>
      <c r="BB78" s="1"/>
      <c r="BC78" s="1"/>
      <c r="BD78" s="1"/>
      <c r="BE78" s="1"/>
      <c r="BF78" s="1"/>
      <c r="BG78" s="1"/>
      <c r="BH78" s="1"/>
      <c r="BI78" s="1"/>
    </row>
    <row r="79" spans="1:61">
      <c r="A79" s="505">
        <f t="shared" si="82"/>
        <v>2087</v>
      </c>
      <c r="B79" s="40">
        <f t="shared" si="77"/>
        <v>437.77813738507268</v>
      </c>
      <c r="C79" s="40">
        <f t="shared" si="29"/>
        <v>547.22267173134082</v>
      </c>
      <c r="D79" s="40">
        <f t="shared" si="30"/>
        <v>19.313741355223783</v>
      </c>
      <c r="E79" s="40">
        <f t="shared" si="27"/>
        <v>0.73</v>
      </c>
      <c r="F79" s="34">
        <v>0.03</v>
      </c>
      <c r="G79" s="34">
        <f t="shared" si="41"/>
        <v>2.5000000000000001E-2</v>
      </c>
      <c r="H79" s="126">
        <f t="shared" ca="1" si="62"/>
        <v>0.16478940778292939</v>
      </c>
      <c r="I79" s="126">
        <f t="shared" ca="1" si="63"/>
        <v>90.176500000000033</v>
      </c>
      <c r="J79" s="129">
        <f t="shared" ca="1" si="64"/>
        <v>3.1826999999999992</v>
      </c>
      <c r="K79" s="1"/>
      <c r="L79" s="40">
        <f t="shared" si="31"/>
        <v>437.77813738507268</v>
      </c>
      <c r="M79" s="40">
        <f t="shared" si="32"/>
        <v>547.22267173134082</v>
      </c>
      <c r="N79" s="40">
        <f t="shared" si="33"/>
        <v>19.313741355223783</v>
      </c>
      <c r="O79" s="40">
        <f t="shared" si="34"/>
        <v>0.73</v>
      </c>
      <c r="P79" s="34">
        <f t="shared" si="42"/>
        <v>3.5000000000000003E-2</v>
      </c>
      <c r="Q79" s="34">
        <f t="shared" si="78"/>
        <v>2.9750000000000002E-2</v>
      </c>
      <c r="R79" s="126">
        <f t="shared" ca="1" si="65"/>
        <v>0.12134592150594439</v>
      </c>
      <c r="S79" s="126">
        <f t="shared" ca="1" si="66"/>
        <v>66.403239370184465</v>
      </c>
      <c r="T79" s="129">
        <f t="shared" ca="1" si="67"/>
        <v>2.3436437424770973</v>
      </c>
      <c r="U79" s="1"/>
      <c r="V79" s="40">
        <f t="shared" si="35"/>
        <v>1241.0797681207894</v>
      </c>
      <c r="W79" s="40">
        <f t="shared" si="36"/>
        <v>1551.349710150987</v>
      </c>
      <c r="X79" s="40">
        <f t="shared" si="37"/>
        <v>54.753519181799462</v>
      </c>
      <c r="Y79" s="40">
        <f t="shared" si="58"/>
        <v>0.73</v>
      </c>
      <c r="Z79" s="34">
        <v>2.5000000000000001E-2</v>
      </c>
      <c r="AA79" s="34">
        <f t="shared" si="79"/>
        <v>2.5000000000000001E-2</v>
      </c>
      <c r="AB79" s="126">
        <f t="shared" ca="1" si="68"/>
        <v>0.22174008573030518</v>
      </c>
      <c r="AC79" s="126">
        <f t="shared" ca="1" si="69"/>
        <v>343.99641772656395</v>
      </c>
      <c r="AD79" s="129">
        <f t="shared" ca="1" si="70"/>
        <v>12.141050037408121</v>
      </c>
      <c r="AE79" s="1"/>
      <c r="AF79" s="40">
        <f t="shared" si="38"/>
        <v>300.59931420435703</v>
      </c>
      <c r="AG79" s="40">
        <f t="shared" si="39"/>
        <v>375.7491427554462</v>
      </c>
      <c r="AH79" s="40">
        <f t="shared" si="40"/>
        <v>13.261734450192211</v>
      </c>
      <c r="AI79" s="40">
        <f t="shared" si="59"/>
        <v>0.73</v>
      </c>
      <c r="AJ79" s="34">
        <v>2.5000000000000001E-2</v>
      </c>
      <c r="AK79" s="34">
        <f t="shared" si="80"/>
        <v>2.5000000000000001E-2</v>
      </c>
      <c r="AL79" s="126">
        <f t="shared" ca="1" si="71"/>
        <v>0.22174008573030518</v>
      </c>
      <c r="AM79" s="126">
        <f t="shared" ca="1" si="72"/>
        <v>83.318647127681317</v>
      </c>
      <c r="AN79" s="129">
        <f t="shared" ca="1" si="73"/>
        <v>2.9406581339181628</v>
      </c>
      <c r="AO79" s="1"/>
      <c r="AP79" s="40">
        <f t="shared" si="60"/>
        <v>330.2450355731591</v>
      </c>
      <c r="AQ79" s="40">
        <f t="shared" si="25"/>
        <v>412.806294466449</v>
      </c>
      <c r="AR79" s="40">
        <f t="shared" si="26"/>
        <v>13.355497762149826</v>
      </c>
      <c r="AS79" s="40">
        <f t="shared" si="61"/>
        <v>0.73</v>
      </c>
      <c r="AT79" s="34">
        <v>2.5000000000000001E-2</v>
      </c>
      <c r="AU79" s="34">
        <f t="shared" si="81"/>
        <v>2.5000000000000001E-2</v>
      </c>
      <c r="AV79" s="126">
        <f t="shared" ca="1" si="74"/>
        <v>0.22174008573030518</v>
      </c>
      <c r="AW79" s="126">
        <f t="shared" ca="1" si="75"/>
        <v>91.535703125000012</v>
      </c>
      <c r="AX79" s="129">
        <f t="shared" ca="1" si="76"/>
        <v>2.9614492187500012</v>
      </c>
      <c r="AY79" s="1"/>
      <c r="AZ79" s="1"/>
      <c r="BA79" s="1"/>
      <c r="BB79" s="1"/>
      <c r="BC79" s="1"/>
      <c r="BD79" s="1"/>
      <c r="BE79" s="1"/>
      <c r="BF79" s="1"/>
      <c r="BG79" s="1"/>
      <c r="BH79" s="1"/>
      <c r="BI79" s="1"/>
    </row>
    <row r="80" spans="1:61">
      <c r="A80" s="505">
        <f t="shared" si="82"/>
        <v>2088</v>
      </c>
      <c r="B80" s="40">
        <f t="shared" si="77"/>
        <v>450.91148150662485</v>
      </c>
      <c r="C80" s="40">
        <f t="shared" si="29"/>
        <v>563.63935188328105</v>
      </c>
      <c r="D80" s="40">
        <f t="shared" si="30"/>
        <v>19.893153595880499</v>
      </c>
      <c r="E80" s="40">
        <f t="shared" si="27"/>
        <v>0.73</v>
      </c>
      <c r="F80" s="34">
        <v>0.03</v>
      </c>
      <c r="G80" s="34">
        <f t="shared" si="41"/>
        <v>2.5000000000000001E-2</v>
      </c>
      <c r="H80" s="126">
        <f t="shared" ca="1" si="62"/>
        <v>0.15998971629410619</v>
      </c>
      <c r="I80" s="126">
        <f t="shared" ca="1" si="63"/>
        <v>90.176500000000019</v>
      </c>
      <c r="J80" s="129">
        <f t="shared" ca="1" si="64"/>
        <v>3.1826999999999992</v>
      </c>
      <c r="K80" s="1"/>
      <c r="L80" s="40">
        <f t="shared" si="31"/>
        <v>450.91148150662485</v>
      </c>
      <c r="M80" s="40">
        <f t="shared" si="32"/>
        <v>563.63935188328105</v>
      </c>
      <c r="N80" s="40">
        <f t="shared" si="33"/>
        <v>19.893153595880499</v>
      </c>
      <c r="O80" s="40">
        <f t="shared" si="34"/>
        <v>0.73</v>
      </c>
      <c r="P80" s="34">
        <f t="shared" si="42"/>
        <v>3.5000000000000003E-2</v>
      </c>
      <c r="Q80" s="34">
        <f t="shared" si="78"/>
        <v>2.9750000000000002E-2</v>
      </c>
      <c r="R80" s="126">
        <f t="shared" ca="1" si="65"/>
        <v>0.11724243623762744</v>
      </c>
      <c r="S80" s="126">
        <f t="shared" ca="1" si="66"/>
        <v>66.082450774193234</v>
      </c>
      <c r="T80" s="129">
        <f t="shared" ca="1" si="67"/>
        <v>2.3323217920303483</v>
      </c>
      <c r="U80" s="1"/>
      <c r="V80" s="40">
        <f t="shared" si="35"/>
        <v>1291.4455052859653</v>
      </c>
      <c r="W80" s="40">
        <f t="shared" si="36"/>
        <v>1614.3068816074569</v>
      </c>
      <c r="X80" s="40">
        <f t="shared" si="37"/>
        <v>56.975536997910162</v>
      </c>
      <c r="Y80" s="40">
        <f t="shared" si="58"/>
        <v>0.73</v>
      </c>
      <c r="Z80" s="34">
        <v>2.5000000000000001E-2</v>
      </c>
      <c r="AA80" s="34">
        <f t="shared" si="79"/>
        <v>2.5000000000000001E-2</v>
      </c>
      <c r="AB80" s="126">
        <f t="shared" ca="1" si="68"/>
        <v>0.21633179095639532</v>
      </c>
      <c r="AC80" s="126">
        <f t="shared" ca="1" si="69"/>
        <v>349.22589885137478</v>
      </c>
      <c r="AD80" s="129">
        <f t="shared" ca="1" si="70"/>
        <v>12.325619959460269</v>
      </c>
      <c r="AE80" s="1"/>
      <c r="AF80" s="40">
        <f t="shared" si="38"/>
        <v>309.22366861284382</v>
      </c>
      <c r="AG80" s="40">
        <f t="shared" si="39"/>
        <v>386.52958576605471</v>
      </c>
      <c r="AH80" s="40">
        <f t="shared" si="40"/>
        <v>13.642220674096043</v>
      </c>
      <c r="AI80" s="40">
        <f t="shared" si="59"/>
        <v>0.73</v>
      </c>
      <c r="AJ80" s="34">
        <v>2.5000000000000001E-2</v>
      </c>
      <c r="AK80" s="34">
        <f t="shared" si="80"/>
        <v>2.5000000000000001E-2</v>
      </c>
      <c r="AL80" s="126">
        <f t="shared" ca="1" si="71"/>
        <v>0.21633179095639532</v>
      </c>
      <c r="AM80" s="126">
        <f t="shared" ca="1" si="72"/>
        <v>83.61863754640423</v>
      </c>
      <c r="AN80" s="129">
        <f t="shared" ca="1" si="73"/>
        <v>2.9512460310495596</v>
      </c>
      <c r="AO80" s="1"/>
      <c r="AP80" s="40">
        <f t="shared" ref="AP80:AR85" si="83">AP79*(1+$AT80)</f>
        <v>338.50116146248803</v>
      </c>
      <c r="AQ80" s="40">
        <f t="shared" si="83"/>
        <v>423.12645182811019</v>
      </c>
      <c r="AR80" s="40">
        <f t="shared" si="83"/>
        <v>13.689385206203569</v>
      </c>
      <c r="AS80" s="40">
        <f t="shared" si="61"/>
        <v>0.73</v>
      </c>
      <c r="AT80" s="34">
        <v>2.5000000000000001E-2</v>
      </c>
      <c r="AU80" s="34">
        <f t="shared" si="81"/>
        <v>2.5000000000000001E-2</v>
      </c>
      <c r="AV80" s="126">
        <f t="shared" ca="1" si="74"/>
        <v>0.21633179095639532</v>
      </c>
      <c r="AW80" s="126">
        <f t="shared" ca="1" si="75"/>
        <v>91.535703125000012</v>
      </c>
      <c r="AX80" s="129">
        <f t="shared" ca="1" si="76"/>
        <v>2.9614492187500012</v>
      </c>
      <c r="AY80" s="1"/>
      <c r="AZ80" s="1"/>
      <c r="BA80" s="1"/>
      <c r="BB80" s="1"/>
      <c r="BC80" s="1"/>
      <c r="BD80" s="1"/>
      <c r="BE80" s="1"/>
      <c r="BF80" s="1"/>
      <c r="BG80" s="1"/>
      <c r="BH80" s="1"/>
      <c r="BI80" s="1"/>
    </row>
    <row r="81" spans="1:61">
      <c r="A81" s="505">
        <f t="shared" si="82"/>
        <v>2089</v>
      </c>
      <c r="B81" s="40">
        <f t="shared" si="77"/>
        <v>464.43882595182362</v>
      </c>
      <c r="C81" s="40">
        <f t="shared" si="29"/>
        <v>580.54853243977948</v>
      </c>
      <c r="D81" s="40">
        <f t="shared" si="30"/>
        <v>20.489948203756914</v>
      </c>
      <c r="E81" s="40">
        <f>E80</f>
        <v>0.73</v>
      </c>
      <c r="F81" s="34">
        <v>0.03</v>
      </c>
      <c r="G81" s="34">
        <f>G80</f>
        <v>2.5000000000000001E-2</v>
      </c>
      <c r="H81" s="126">
        <f t="shared" ca="1" si="62"/>
        <v>0.15532982164476328</v>
      </c>
      <c r="I81" s="126">
        <f t="shared" ca="1" si="63"/>
        <v>90.176500000000019</v>
      </c>
      <c r="J81" s="129">
        <f t="shared" ca="1" si="64"/>
        <v>3.1826999999999992</v>
      </c>
      <c r="K81" s="1"/>
      <c r="L81" s="40">
        <f t="shared" si="31"/>
        <v>464.43882595182362</v>
      </c>
      <c r="M81" s="40">
        <f t="shared" si="32"/>
        <v>580.54853243977948</v>
      </c>
      <c r="N81" s="40">
        <f t="shared" si="33"/>
        <v>20.489948203756914</v>
      </c>
      <c r="O81" s="40">
        <f t="shared" si="34"/>
        <v>0.73</v>
      </c>
      <c r="P81" s="34">
        <f t="shared" si="42"/>
        <v>3.5000000000000003E-2</v>
      </c>
      <c r="Q81" s="34">
        <f t="shared" si="78"/>
        <v>2.9750000000000002E-2</v>
      </c>
      <c r="R81" s="126">
        <f t="shared" ca="1" si="65"/>
        <v>0.11327771617162072</v>
      </c>
      <c r="S81" s="126">
        <f t="shared" ca="1" si="66"/>
        <v>65.763211881564288</v>
      </c>
      <c r="T81" s="129">
        <f t="shared" ca="1" si="67"/>
        <v>2.3210545369963853</v>
      </c>
      <c r="U81" s="1"/>
      <c r="V81" s="40">
        <f t="shared" si="35"/>
        <v>1343.7162148897432</v>
      </c>
      <c r="W81" s="40">
        <f t="shared" si="36"/>
        <v>1679.6452686121793</v>
      </c>
      <c r="X81" s="40">
        <f t="shared" si="37"/>
        <v>59.281597715723876</v>
      </c>
      <c r="Y81" s="40">
        <f t="shared" si="58"/>
        <v>0.73</v>
      </c>
      <c r="Z81" s="34">
        <v>2.5000000000000001E-2</v>
      </c>
      <c r="AA81" s="34">
        <f t="shared" si="79"/>
        <v>2.5000000000000001E-2</v>
      </c>
      <c r="AB81" s="126">
        <f t="shared" ca="1" si="68"/>
        <v>0.2110554058111174</v>
      </c>
      <c r="AC81" s="126">
        <f t="shared" ca="1" si="69"/>
        <v>354.49821378566679</v>
      </c>
      <c r="AD81" s="129">
        <f t="shared" ca="1" si="70"/>
        <v>12.511701663023512</v>
      </c>
      <c r="AE81" s="1"/>
      <c r="AF81" s="40">
        <f t="shared" si="38"/>
        <v>318.11265802884992</v>
      </c>
      <c r="AG81" s="40">
        <f t="shared" si="39"/>
        <v>397.64082253606233</v>
      </c>
      <c r="AH81" s="40">
        <f t="shared" si="40"/>
        <v>14.034381971861016</v>
      </c>
      <c r="AI81" s="40">
        <f t="shared" si="59"/>
        <v>0.73</v>
      </c>
      <c r="AJ81" s="34">
        <v>2.5000000000000001E-2</v>
      </c>
      <c r="AK81" s="34">
        <f t="shared" si="80"/>
        <v>2.5000000000000001E-2</v>
      </c>
      <c r="AL81" s="126">
        <f t="shared" ca="1" si="71"/>
        <v>0.2110554058111174</v>
      </c>
      <c r="AM81" s="126">
        <f t="shared" ca="1" si="72"/>
        <v>83.924245167415151</v>
      </c>
      <c r="AN81" s="129">
        <f t="shared" ca="1" si="73"/>
        <v>2.9620321823793567</v>
      </c>
      <c r="AO81" s="1"/>
      <c r="AP81" s="40">
        <f>AP80*(1+$AT81)</f>
        <v>346.96369049905019</v>
      </c>
      <c r="AQ81" s="40">
        <f t="shared" si="83"/>
        <v>433.70461312381292</v>
      </c>
      <c r="AR81" s="40">
        <f t="shared" si="83"/>
        <v>14.031619836358658</v>
      </c>
      <c r="AS81" s="40">
        <f t="shared" si="61"/>
        <v>0.73</v>
      </c>
      <c r="AT81" s="34">
        <v>2.5000000000000001E-2</v>
      </c>
      <c r="AU81" s="34">
        <f t="shared" si="81"/>
        <v>2.5000000000000001E-2</v>
      </c>
      <c r="AV81" s="126">
        <f t="shared" ca="1" si="74"/>
        <v>0.2110554058111174</v>
      </c>
      <c r="AW81" s="126">
        <f t="shared" ca="1" si="75"/>
        <v>91.535703125000012</v>
      </c>
      <c r="AX81" s="129">
        <f t="shared" ca="1" si="76"/>
        <v>2.9614492187500012</v>
      </c>
      <c r="AY81" s="1"/>
      <c r="AZ81" s="1"/>
      <c r="BA81" s="1"/>
      <c r="BB81" s="1"/>
      <c r="BC81" s="1"/>
      <c r="BD81" s="1"/>
      <c r="BE81" s="1"/>
      <c r="BF81" s="1"/>
      <c r="BG81" s="1"/>
      <c r="BH81" s="1"/>
      <c r="BI81" s="1"/>
    </row>
    <row r="82" spans="1:61">
      <c r="A82" s="505">
        <f t="shared" si="82"/>
        <v>2090</v>
      </c>
      <c r="B82" s="40">
        <f t="shared" si="77"/>
        <v>478.37199073037829</v>
      </c>
      <c r="C82" s="40">
        <f t="shared" ref="C82:D85" si="84">C81*1.03</f>
        <v>597.96498841297284</v>
      </c>
      <c r="D82" s="40">
        <f t="shared" si="84"/>
        <v>21.104646649869622</v>
      </c>
      <c r="E82" s="40">
        <f>E81</f>
        <v>0.73</v>
      </c>
      <c r="F82" s="34">
        <v>0.03</v>
      </c>
      <c r="G82" s="34">
        <f>G81</f>
        <v>2.5000000000000001E-2</v>
      </c>
      <c r="H82" s="126">
        <f t="shared" ca="1" si="62"/>
        <v>0.15080565208229443</v>
      </c>
      <c r="I82" s="126">
        <f t="shared" ca="1" si="63"/>
        <v>90.176500000000004</v>
      </c>
      <c r="J82" s="129">
        <f t="shared" ca="1" si="64"/>
        <v>3.1826999999999992</v>
      </c>
      <c r="K82" s="1"/>
      <c r="L82" s="40">
        <f>($B82-$B81)+($N$4+1)*L81</f>
        <v>478.37199073037829</v>
      </c>
      <c r="M82" s="40">
        <f>($C82-$C81)+($N$4+1)*M81</f>
        <v>597.96498841297284</v>
      </c>
      <c r="N82" s="40">
        <f>($D82-$D81)+($N$4+1)*N81</f>
        <v>21.104646649869622</v>
      </c>
      <c r="O82" s="40">
        <f>O81</f>
        <v>0.73</v>
      </c>
      <c r="P82" s="34">
        <f t="shared" si="42"/>
        <v>3.5000000000000003E-2</v>
      </c>
      <c r="Q82" s="34">
        <f t="shared" si="78"/>
        <v>2.9750000000000002E-2</v>
      </c>
      <c r="R82" s="126">
        <f t="shared" ca="1" si="65"/>
        <v>0.10944706876485094</v>
      </c>
      <c r="S82" s="126">
        <f t="shared" ca="1" si="66"/>
        <v>65.445515205807936</v>
      </c>
      <c r="T82" s="129">
        <f t="shared" ca="1" si="67"/>
        <v>2.3098417131461617</v>
      </c>
      <c r="U82" s="1"/>
      <c r="V82" s="40">
        <f>($B82-$B81)+($X$4+1)*V81</f>
        <v>1397.96086611499</v>
      </c>
      <c r="W82" s="40">
        <f>($C82-$C81)+($X$4+1)*W81</f>
        <v>1747.4510826437381</v>
      </c>
      <c r="X82" s="40">
        <f>($D82-$D81)+($X$4+1)*X81</f>
        <v>61.674744093308306</v>
      </c>
      <c r="Y82" s="40">
        <f t="shared" si="58"/>
        <v>0.73</v>
      </c>
      <c r="Z82" s="34">
        <v>2.5000000000000001E-2</v>
      </c>
      <c r="AA82" s="34">
        <f t="shared" si="79"/>
        <v>2.5000000000000001E-2</v>
      </c>
      <c r="AB82" s="126">
        <f t="shared" ca="1" si="68"/>
        <v>0.20590771298645602</v>
      </c>
      <c r="AC82" s="126">
        <f t="shared" ca="1" si="69"/>
        <v>359.81365598287869</v>
      </c>
      <c r="AD82" s="129">
        <f t="shared" ca="1" si="70"/>
        <v>12.699305505278049</v>
      </c>
      <c r="AE82" s="1"/>
      <c r="AF82" s="40">
        <f>($B82-$B81)+($AH$4+1)*AF81</f>
        <v>327.27413293697185</v>
      </c>
      <c r="AG82" s="40">
        <f>($C82-$C81)+($AH$4+1)*AG81</f>
        <v>409.09266617121477</v>
      </c>
      <c r="AH82" s="40">
        <f>($D82-$D81)+($AH$4+1)*AH81</f>
        <v>14.438564688395809</v>
      </c>
      <c r="AI82" s="40">
        <f t="shared" si="59"/>
        <v>0.73</v>
      </c>
      <c r="AJ82" s="34">
        <v>2.5000000000000001E-2</v>
      </c>
      <c r="AK82" s="34">
        <f t="shared" si="80"/>
        <v>2.5000000000000001E-2</v>
      </c>
      <c r="AL82" s="126">
        <f t="shared" ca="1" si="71"/>
        <v>0.20590771298645602</v>
      </c>
      <c r="AM82" s="126">
        <f t="shared" ca="1" si="72"/>
        <v>84.235335290846564</v>
      </c>
      <c r="AN82" s="129">
        <f t="shared" ca="1" si="73"/>
        <v>2.9730118337945832</v>
      </c>
      <c r="AO82" s="1"/>
      <c r="AP82" s="40">
        <f>AP81*(1+$AT82)</f>
        <v>355.63778276152641</v>
      </c>
      <c r="AQ82" s="40">
        <f t="shared" si="83"/>
        <v>444.54722845190821</v>
      </c>
      <c r="AR82" s="40">
        <f t="shared" si="83"/>
        <v>14.382410332267623</v>
      </c>
      <c r="AS82" s="40">
        <f t="shared" si="61"/>
        <v>0.73</v>
      </c>
      <c r="AT82" s="34">
        <v>2.5000000000000001E-2</v>
      </c>
      <c r="AU82" s="34">
        <f t="shared" si="81"/>
        <v>2.5000000000000001E-2</v>
      </c>
      <c r="AV82" s="126">
        <f t="shared" ca="1" si="74"/>
        <v>0.20590771298645602</v>
      </c>
      <c r="AW82" s="126">
        <f t="shared" ca="1" si="75"/>
        <v>91.535703125000012</v>
      </c>
      <c r="AX82" s="129">
        <f t="shared" ca="1" si="76"/>
        <v>2.9614492187500012</v>
      </c>
      <c r="AY82" s="1"/>
      <c r="AZ82" s="1"/>
      <c r="BA82" s="1"/>
      <c r="BB82" s="1"/>
      <c r="BC82" s="1"/>
      <c r="BD82" s="1"/>
      <c r="BE82" s="1"/>
      <c r="BF82" s="1"/>
      <c r="BG82" s="1"/>
      <c r="BH82" s="1"/>
      <c r="BI82" s="1"/>
    </row>
    <row r="83" spans="1:61">
      <c r="A83" s="505">
        <f t="shared" si="82"/>
        <v>2091</v>
      </c>
      <c r="B83" s="40">
        <f t="shared" si="77"/>
        <v>492.72315045228964</v>
      </c>
      <c r="C83" s="40">
        <f t="shared" si="84"/>
        <v>615.90393806536201</v>
      </c>
      <c r="D83" s="40">
        <f t="shared" si="84"/>
        <v>21.73778604936571</v>
      </c>
      <c r="E83" s="40">
        <f>E82</f>
        <v>0.73</v>
      </c>
      <c r="F83" s="34">
        <v>0.03</v>
      </c>
      <c r="G83" s="34">
        <f>G82</f>
        <v>2.5000000000000001E-2</v>
      </c>
      <c r="H83" s="126">
        <f t="shared" ca="1" si="62"/>
        <v>0.14641325444882955</v>
      </c>
      <c r="I83" s="126">
        <f t="shared" ca="1" si="63"/>
        <v>90.176500000000004</v>
      </c>
      <c r="J83" s="129">
        <f t="shared" ca="1" si="64"/>
        <v>3.1826999999999988</v>
      </c>
      <c r="K83" s="1"/>
      <c r="L83" s="40">
        <f>($B83-$B82)+($N$4+1)*L82</f>
        <v>492.72315045228964</v>
      </c>
      <c r="M83" s="40">
        <f>($C83-$C82)+($N$4+1)*M82</f>
        <v>615.90393806536201</v>
      </c>
      <c r="N83" s="40">
        <f>($D83-$D82)+($N$4+1)*N82</f>
        <v>21.73778604936571</v>
      </c>
      <c r="O83" s="40">
        <f>O82</f>
        <v>0.73</v>
      </c>
      <c r="P83" s="34">
        <f t="shared" si="42"/>
        <v>3.5000000000000003E-2</v>
      </c>
      <c r="Q83" s="34">
        <f t="shared" si="78"/>
        <v>2.9750000000000002E-2</v>
      </c>
      <c r="R83" s="126">
        <f t="shared" ca="1" si="65"/>
        <v>0.10574596015927629</v>
      </c>
      <c r="S83" s="126">
        <f t="shared" ca="1" si="66"/>
        <v>65.129353296601138</v>
      </c>
      <c r="T83" s="129">
        <f t="shared" ca="1" si="67"/>
        <v>2.2986830575270982</v>
      </c>
      <c r="U83" s="1"/>
      <c r="V83" s="40">
        <f>($B83-$B82)+($X$4+1)*V82</f>
        <v>1454.2508518203513</v>
      </c>
      <c r="W83" s="40">
        <f>($C83-$C82)+($X$4+1)*W82</f>
        <v>1817.8135647754393</v>
      </c>
      <c r="X83" s="40">
        <f>($D83-$D82)+($X$4+1)*X82</f>
        <v>64.158125815603654</v>
      </c>
      <c r="Y83" s="40">
        <f t="shared" si="58"/>
        <v>0.73</v>
      </c>
      <c r="Z83" s="34">
        <v>2.5000000000000001E-2</v>
      </c>
      <c r="AA83" s="34">
        <f t="shared" si="79"/>
        <v>2.5000000000000001E-2</v>
      </c>
      <c r="AB83" s="126">
        <f t="shared" ca="1" si="68"/>
        <v>0.20088557364532297</v>
      </c>
      <c r="AC83" s="126">
        <f t="shared" ca="1" si="69"/>
        <v>365.17252074016358</v>
      </c>
      <c r="AD83" s="129">
        <f t="shared" ca="1" si="70"/>
        <v>12.888441908476345</v>
      </c>
      <c r="AE83" s="1"/>
      <c r="AF83" s="40">
        <f>($B83-$B82)+($AH$4+1)*AF82</f>
        <v>336.71618066482864</v>
      </c>
      <c r="AG83" s="40">
        <f>($C83-$C82)+($AH$4+1)*AG82</f>
        <v>420.8952258310357</v>
      </c>
      <c r="AH83" s="40">
        <f>($D83-$D82)+($AH$4+1)*AH82</f>
        <v>14.85512561756596</v>
      </c>
      <c r="AI83" s="40">
        <f t="shared" si="59"/>
        <v>0.73</v>
      </c>
      <c r="AJ83" s="34">
        <v>2.5000000000000001E-2</v>
      </c>
      <c r="AK83" s="34">
        <f t="shared" si="80"/>
        <v>2.5000000000000001E-2</v>
      </c>
      <c r="AL83" s="126">
        <f t="shared" ca="1" si="71"/>
        <v>0.20088557364532297</v>
      </c>
      <c r="AM83" s="126">
        <f t="shared" ca="1" si="72"/>
        <v>84.551778885645362</v>
      </c>
      <c r="AN83" s="129">
        <f t="shared" ca="1" si="73"/>
        <v>2.9841804312580704</v>
      </c>
      <c r="AO83" s="1"/>
      <c r="AP83" s="40">
        <f>AP82*(1+$AT83)</f>
        <v>364.52872733056455</v>
      </c>
      <c r="AQ83" s="40">
        <f t="shared" si="83"/>
        <v>455.66090916320587</v>
      </c>
      <c r="AR83" s="40">
        <f t="shared" si="83"/>
        <v>14.741970590574313</v>
      </c>
      <c r="AS83" s="40">
        <f t="shared" si="61"/>
        <v>0.73</v>
      </c>
      <c r="AT83" s="34">
        <v>2.5000000000000001E-2</v>
      </c>
      <c r="AU83" s="34">
        <f t="shared" si="81"/>
        <v>2.5000000000000001E-2</v>
      </c>
      <c r="AV83" s="126">
        <f t="shared" ca="1" si="74"/>
        <v>0.20088557364532297</v>
      </c>
      <c r="AW83" s="126">
        <f t="shared" ca="1" si="75"/>
        <v>91.535703125000012</v>
      </c>
      <c r="AX83" s="129">
        <f t="shared" ca="1" si="76"/>
        <v>2.9614492187500017</v>
      </c>
      <c r="AY83" s="1"/>
      <c r="AZ83" s="1"/>
      <c r="BA83" s="1"/>
      <c r="BB83" s="1"/>
      <c r="BC83" s="1"/>
      <c r="BD83" s="1"/>
      <c r="BE83" s="1"/>
      <c r="BF83" s="1"/>
      <c r="BG83" s="1"/>
      <c r="BH83" s="1"/>
      <c r="BI83" s="1"/>
    </row>
    <row r="84" spans="1:61">
      <c r="A84" s="505">
        <f t="shared" si="82"/>
        <v>2092</v>
      </c>
      <c r="B84" s="40">
        <f t="shared" si="77"/>
        <v>507.50484496585835</v>
      </c>
      <c r="C84" s="40">
        <f t="shared" si="84"/>
        <v>634.3810562073229</v>
      </c>
      <c r="D84" s="40">
        <f t="shared" si="84"/>
        <v>22.389919630846681</v>
      </c>
      <c r="E84" s="40">
        <f>E83</f>
        <v>0.73</v>
      </c>
      <c r="F84" s="34">
        <v>0.03</v>
      </c>
      <c r="G84" s="34">
        <f>G83</f>
        <v>2.5000000000000001E-2</v>
      </c>
      <c r="H84" s="126">
        <f t="shared" ca="1" si="62"/>
        <v>0.14214879072701897</v>
      </c>
      <c r="I84" s="126">
        <f t="shared" ca="1" si="63"/>
        <v>90.176500000000004</v>
      </c>
      <c r="J84" s="129">
        <f t="shared" ca="1" si="64"/>
        <v>3.1826999999999988</v>
      </c>
      <c r="K84" s="1"/>
      <c r="L84" s="40">
        <f>($B84-$B83)+($N$4+1)*L83</f>
        <v>507.50484496585835</v>
      </c>
      <c r="M84" s="40">
        <f>($C84-$C83)+($N$4+1)*M83</f>
        <v>634.3810562073229</v>
      </c>
      <c r="N84" s="40">
        <f>($D84-$D83)+($N$4+1)*N83</f>
        <v>22.389919630846681</v>
      </c>
      <c r="O84" s="40">
        <f>O83</f>
        <v>0.73</v>
      </c>
      <c r="P84" s="34">
        <f t="shared" si="42"/>
        <v>3.5000000000000003E-2</v>
      </c>
      <c r="Q84" s="34">
        <f t="shared" si="78"/>
        <v>2.9750000000000002E-2</v>
      </c>
      <c r="R84" s="126">
        <f t="shared" ca="1" si="65"/>
        <v>0.10217000981572588</v>
      </c>
      <c r="S84" s="126">
        <f t="shared" ca="1" si="66"/>
        <v>64.814718739612729</v>
      </c>
      <c r="T84" s="129">
        <f t="shared" ca="1" si="67"/>
        <v>2.287578308456919</v>
      </c>
      <c r="U84" s="1"/>
      <c r="V84" s="40">
        <f>($B84-$B83)+($X$4+1)*V83</f>
        <v>1512.6600718885306</v>
      </c>
      <c r="W84" s="40">
        <f>($C84-$C83)+($X$4+1)*W83</f>
        <v>1890.8250898606634</v>
      </c>
      <c r="X84" s="40">
        <f>($D84-$D83)+($X$4+1)*X83</f>
        <v>66.735003171552734</v>
      </c>
      <c r="Y84" s="40">
        <f t="shared" si="58"/>
        <v>0.73</v>
      </c>
      <c r="Z84" s="34">
        <v>2.5000000000000001E-2</v>
      </c>
      <c r="AA84" s="34">
        <f t="shared" si="79"/>
        <v>2.5000000000000001E-2</v>
      </c>
      <c r="AB84" s="126">
        <f t="shared" ca="1" si="68"/>
        <v>0.19598592550763219</v>
      </c>
      <c r="AC84" s="126">
        <f t="shared" ca="1" si="69"/>
        <v>370.57510520939394</v>
      </c>
      <c r="AD84" s="129">
        <f t="shared" ca="1" si="70"/>
        <v>13.079121360331532</v>
      </c>
      <c r="AE84" s="1"/>
      <c r="AF84" s="40">
        <f>($B84-$B83)+($AH$4+1)*AF83</f>
        <v>346.44713246842491</v>
      </c>
      <c r="AG84" s="40">
        <f>($C84-$C83)+($AH$4+1)*AG83</f>
        <v>433.05891558553105</v>
      </c>
      <c r="AH84" s="40">
        <f>($D84-$D83)+($AH$4+1)*AH83</f>
        <v>15.284432314783441</v>
      </c>
      <c r="AI84" s="40">
        <f t="shared" si="59"/>
        <v>0.73</v>
      </c>
      <c r="AJ84" s="34">
        <v>2.5000000000000001E-2</v>
      </c>
      <c r="AK84" s="34">
        <f t="shared" si="80"/>
        <v>2.5000000000000001E-2</v>
      </c>
      <c r="AL84" s="126">
        <f t="shared" ca="1" si="71"/>
        <v>0.19598592550763219</v>
      </c>
      <c r="AM84" s="126">
        <f t="shared" ca="1" si="72"/>
        <v>84.873452370361861</v>
      </c>
      <c r="AN84" s="129">
        <f t="shared" ca="1" si="73"/>
        <v>2.9955336130715935</v>
      </c>
      <c r="AO84" s="1"/>
      <c r="AP84" s="40">
        <f>AP83*(1+$AT84)</f>
        <v>373.64194551382866</v>
      </c>
      <c r="AQ84" s="40">
        <f t="shared" si="83"/>
        <v>467.05243189228599</v>
      </c>
      <c r="AR84" s="40">
        <f t="shared" si="83"/>
        <v>15.110519855338669</v>
      </c>
      <c r="AS84" s="40">
        <f t="shared" si="61"/>
        <v>0.73</v>
      </c>
      <c r="AT84" s="34">
        <v>2.5000000000000001E-2</v>
      </c>
      <c r="AU84" s="34">
        <f t="shared" si="81"/>
        <v>2.5000000000000001E-2</v>
      </c>
      <c r="AV84" s="126">
        <f t="shared" ca="1" si="74"/>
        <v>0.19598592550763219</v>
      </c>
      <c r="AW84" s="126">
        <f t="shared" ca="1" si="75"/>
        <v>91.535703125000026</v>
      </c>
      <c r="AX84" s="129">
        <f t="shared" ca="1" si="76"/>
        <v>2.9614492187500017</v>
      </c>
      <c r="AY84" s="1"/>
      <c r="AZ84" s="1"/>
      <c r="BA84" s="1"/>
      <c r="BB84" s="1"/>
      <c r="BC84" s="1"/>
      <c r="BD84" s="1"/>
      <c r="BE84" s="1"/>
      <c r="BF84" s="1"/>
      <c r="BG84" s="1"/>
      <c r="BH84" s="1"/>
      <c r="BI84" s="1"/>
    </row>
    <row r="85" spans="1:61">
      <c r="A85" s="505">
        <f t="shared" si="82"/>
        <v>2093</v>
      </c>
      <c r="B85" s="40">
        <f t="shared" si="77"/>
        <v>522.72999031483403</v>
      </c>
      <c r="C85" s="40">
        <f t="shared" si="84"/>
        <v>653.41248789354256</v>
      </c>
      <c r="D85" s="40">
        <f t="shared" si="84"/>
        <v>23.061617219772081</v>
      </c>
      <c r="E85" s="40">
        <f>E84</f>
        <v>0.73</v>
      </c>
      <c r="F85" s="34">
        <v>0.03</v>
      </c>
      <c r="G85" s="34">
        <f>G84</f>
        <v>2.5000000000000001E-2</v>
      </c>
      <c r="H85" s="126">
        <f t="shared" ca="1" si="62"/>
        <v>0.13800853468642618</v>
      </c>
      <c r="I85" s="126">
        <f t="shared" ca="1" si="63"/>
        <v>90.17649999999999</v>
      </c>
      <c r="J85" s="129">
        <f t="shared" ca="1" si="64"/>
        <v>3.1826999999999988</v>
      </c>
      <c r="K85" s="1"/>
      <c r="L85" s="40">
        <f>($B85-$B84)+($N$4+1)*L84</f>
        <v>522.72999031483403</v>
      </c>
      <c r="M85" s="40">
        <f>($C85-$C84)+($N$4+1)*M84</f>
        <v>653.41248789354256</v>
      </c>
      <c r="N85" s="40">
        <f>($D85-$D84)+($N$4+1)*N84</f>
        <v>23.061617219772081</v>
      </c>
      <c r="O85" s="40">
        <f>O84</f>
        <v>0.73</v>
      </c>
      <c r="P85" s="34">
        <f t="shared" si="42"/>
        <v>3.5000000000000003E-2</v>
      </c>
      <c r="Q85" s="34">
        <f t="shared" si="78"/>
        <v>2.9750000000000002E-2</v>
      </c>
      <c r="R85" s="126">
        <f t="shared" ca="1" si="65"/>
        <v>9.8714985329203753E-2</v>
      </c>
      <c r="S85" s="126">
        <f t="shared" ca="1" si="66"/>
        <v>64.501604156329577</v>
      </c>
      <c r="T85" s="129">
        <f t="shared" ca="1" si="67"/>
        <v>2.2765272055175139</v>
      </c>
      <c r="U85" s="1"/>
      <c r="V85" s="40">
        <f>($B85-$B84)+($X$4+1)*V84</f>
        <v>1573.2650193941624</v>
      </c>
      <c r="W85" s="40">
        <f>($C85-$C84)+($X$4+1)*W84</f>
        <v>1966.5812742427029</v>
      </c>
      <c r="X85" s="40">
        <f>($D85-$D84)+($X$4+1)*X84</f>
        <v>69.408750855624717</v>
      </c>
      <c r="Y85" s="40">
        <f t="shared" si="58"/>
        <v>0.73</v>
      </c>
      <c r="Z85" s="34">
        <v>2.5000000000000001E-2</v>
      </c>
      <c r="AA85" s="34">
        <f t="shared" si="79"/>
        <v>2.5000000000000001E-2</v>
      </c>
      <c r="AB85" s="126">
        <f t="shared" ca="1" si="68"/>
        <v>0.19120578098305582</v>
      </c>
      <c r="AC85" s="126">
        <f t="shared" ca="1" si="69"/>
        <v>376.02170840822907</v>
      </c>
      <c r="AD85" s="129">
        <f t="shared" ca="1" si="70"/>
        <v>13.271354414408068</v>
      </c>
      <c r="AE85" s="1"/>
      <c r="AF85" s="40">
        <f>($B85-$B84)+($AH$4+1)*AF84</f>
        <v>356.47557083037418</v>
      </c>
      <c r="AG85" s="40">
        <f>($C85-$C84)+($AH$4+1)*AG84</f>
        <v>445.59446353796773</v>
      </c>
      <c r="AH85" s="40">
        <f>($D85-$D84)+($AH$4+1)*AH84</f>
        <v>15.72686341898709</v>
      </c>
      <c r="AI85" s="40">
        <f t="shared" si="59"/>
        <v>0.73</v>
      </c>
      <c r="AJ85" s="34">
        <v>2.5000000000000001E-2</v>
      </c>
      <c r="AK85" s="34">
        <f t="shared" si="80"/>
        <v>2.5000000000000001E-2</v>
      </c>
      <c r="AL85" s="126">
        <f t="shared" ca="1" si="71"/>
        <v>0.19120578098305582</v>
      </c>
      <c r="AM85" s="126">
        <f t="shared" ca="1" si="72"/>
        <v>85.200237402502907</v>
      </c>
      <c r="AN85" s="129">
        <f t="shared" ca="1" si="73"/>
        <v>3.0070672024412781</v>
      </c>
      <c r="AO85" s="1"/>
      <c r="AP85" s="40">
        <f>AP84*(1+$AT85)</f>
        <v>382.98299415167435</v>
      </c>
      <c r="AQ85" s="40">
        <f t="shared" si="83"/>
        <v>478.7287426895931</v>
      </c>
      <c r="AR85" s="40">
        <f t="shared" si="83"/>
        <v>15.488282851722134</v>
      </c>
      <c r="AS85" s="40">
        <f t="shared" si="61"/>
        <v>0.73</v>
      </c>
      <c r="AT85" s="34">
        <v>2.5000000000000001E-2</v>
      </c>
      <c r="AU85" s="34">
        <f t="shared" si="81"/>
        <v>2.5000000000000001E-2</v>
      </c>
      <c r="AV85" s="126">
        <f t="shared" ca="1" si="74"/>
        <v>0.19120578098305582</v>
      </c>
      <c r="AW85" s="126">
        <f t="shared" ca="1" si="75"/>
        <v>91.535703125000026</v>
      </c>
      <c r="AX85" s="129">
        <f t="shared" ca="1" si="76"/>
        <v>2.9614492187500017</v>
      </c>
      <c r="AY85" s="1"/>
      <c r="AZ85" s="1"/>
      <c r="BA85" s="1"/>
      <c r="BB85" s="1"/>
      <c r="BC85" s="1"/>
      <c r="BD85" s="1"/>
      <c r="BE85" s="1"/>
      <c r="BF85" s="1"/>
      <c r="BG85" s="1"/>
      <c r="BH85" s="1"/>
      <c r="BI85" s="1"/>
    </row>
    <row r="86" spans="1:61">
      <c r="A86" s="64"/>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row>
    <row r="87" spans="1:61">
      <c r="A87" s="64"/>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row>
    <row r="88" spans="1:61">
      <c r="A88" s="64"/>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row>
    <row r="89" spans="1:61">
      <c r="A89" s="64"/>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row>
    <row r="90" spans="1:61">
      <c r="A90" s="64"/>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row>
    <row r="91" spans="1:61">
      <c r="A91" s="64"/>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row>
    <row r="92" spans="1:61">
      <c r="A92" s="64"/>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row>
    <row r="93" spans="1:61">
      <c r="A93" s="64"/>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row>
    <row r="94" spans="1:61">
      <c r="A94" s="64"/>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row>
    <row r="95" spans="1:61">
      <c r="A95" s="64"/>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row>
    <row r="96" spans="1:61">
      <c r="A96" s="64"/>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row>
    <row r="97" spans="1:61">
      <c r="A97" s="64"/>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row>
    <row r="98" spans="1:61">
      <c r="A98" s="64"/>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row>
    <row r="99" spans="1:61">
      <c r="A99" s="64"/>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row>
    <row r="100" spans="1:61">
      <c r="A100" s="64"/>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row>
    <row r="101" spans="1:61">
      <c r="A101" s="64"/>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row>
    <row r="102" spans="1:61">
      <c r="A102" s="64"/>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row>
    <row r="103" spans="1:61">
      <c r="A103" s="64"/>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row>
    <row r="104" spans="1:61">
      <c r="A104" s="64"/>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row>
    <row r="105" spans="1:61">
      <c r="A105" s="64"/>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row>
    <row r="106" spans="1:61">
      <c r="A106" s="64"/>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row>
    <row r="107" spans="1:61">
      <c r="A107" s="64"/>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row>
    <row r="108" spans="1:61">
      <c r="A108" s="83"/>
    </row>
    <row r="109" spans="1:61">
      <c r="A109" s="83"/>
    </row>
  </sheetData>
  <sheetProtection algorithmName="SHA-512" hashValue="rDGDpd/RjHTWR8oo4pgAoT3/+BRamSbMyHd3x7Zh7azltINP2PzmLW2oX3KOfBHOe6sqtoZfKVi4EZmiWlbitA==" saltValue="JIRCXJbcg5J/ln2RVnKPqw==" spinCount="100000" sheet="1" objects="1" scenarios="1"/>
  <mergeCells count="10">
    <mergeCell ref="AX5:AX7"/>
    <mergeCell ref="I5:I7"/>
    <mergeCell ref="S5:S7"/>
    <mergeCell ref="AC5:AC7"/>
    <mergeCell ref="AM5:AM7"/>
    <mergeCell ref="AW5:AW7"/>
    <mergeCell ref="J5:J7"/>
    <mergeCell ref="T5:T7"/>
    <mergeCell ref="AD5:AD7"/>
    <mergeCell ref="AN5:AN7"/>
  </mergeCells>
  <dataValidations count="5">
    <dataValidation allowBlank="1" showInputMessage="1" showErrorMessage="1" promptTitle="Netback Differential" prompt="The netback differential is the cost of getting the product from the field to the market as referenced for the particular field, together with any quality differentials.  It is automatically inflated by the cost inflator. " sqref="A9" xr:uid="{00000000-0002-0000-0F00-000000000000}"/>
    <dataValidation allowBlank="1" showInputMessage="1" showErrorMessage="1" promptTitle="Long Term Bond Rate" prompt="The Long Term Bond Rate is used to calculate the Return Allowance for Royalty" sqref="G5:G7" xr:uid="{00000000-0002-0000-0F00-000001000000}"/>
    <dataValidation allowBlank="1" showInputMessage="1" showErrorMessage="1" prompt="Enter the netback differential to the market price for Gas Liquids, Oil and Gas Price.  Note the differential applies to all Economic Scenarios" sqref="B9:D9" xr:uid="{00000000-0002-0000-0F00-000002000000}"/>
    <dataValidation allowBlank="1" showInputMessage="1" showErrorMessage="1" prompt="Enter the scenario name" sqref="AP4 B4 L4 V4 AF4" xr:uid="{00000000-0002-0000-0F00-000003000000}"/>
    <dataValidation allowBlank="1" showInputMessage="1" showErrorMessage="1" prompt="Enter the date of the projection" sqref="C4 M4 W4 AG4 AQ4" xr:uid="{00000000-0002-0000-0F00-000004000000}"/>
  </dataValidations>
  <hyperlinks>
    <hyperlink ref="A1" location="Guide" display="Guide" xr:uid="{00000000-0004-0000-0F00-000000000000}"/>
    <hyperlink ref="A2" location="Input" display="Input" xr:uid="{00000000-0004-0000-0F00-000001000000}"/>
  </hyperlinks>
  <pageMargins left="0.7" right="0.7" top="0.75" bottom="0.75" header="0.3" footer="0.3"/>
  <pageSetup paperSize="9" scale="71" orientation="portrait" r:id="rId1"/>
  <headerFooter>
    <oddFooter>&amp;LNova Scotia Exploration Economics Model&amp;Rwww.indeva.com</oddFooter>
  </headerFooter>
  <colBreaks count="1" manualBreakCount="1">
    <brk id="10"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0">
    <tabColor rgb="FFFFFF00"/>
    <pageSetUpPr fitToPage="1"/>
  </sheetPr>
  <dimension ref="A1:AE203"/>
  <sheetViews>
    <sheetView showGridLines="0" showRowColHeaders="0" tabSelected="1" topLeftCell="A19" zoomScale="70" zoomScaleNormal="70" workbookViewId="0">
      <pane ySplit="3" topLeftCell="A40" activePane="bottomLeft" state="frozen"/>
      <selection activeCell="A19" sqref="A19"/>
      <selection pane="bottomLeft" activeCell="AU56" sqref="AU56"/>
    </sheetView>
  </sheetViews>
  <sheetFormatPr defaultRowHeight="15"/>
  <sheetData>
    <row r="1" spans="1:31">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77"/>
    </row>
    <row r="2" spans="1:31">
      <c r="A2" s="77"/>
      <c r="B2" s="77"/>
      <c r="C2" s="77"/>
      <c r="D2" s="77"/>
      <c r="E2" s="77"/>
      <c r="F2" s="77"/>
      <c r="G2" s="77"/>
      <c r="H2" s="77"/>
      <c r="I2" s="77"/>
      <c r="J2" s="77"/>
      <c r="K2" s="77"/>
      <c r="L2" s="77"/>
      <c r="M2" s="77"/>
      <c r="N2" s="77"/>
      <c r="O2" s="77"/>
      <c r="P2" s="77"/>
      <c r="Q2" s="77"/>
      <c r="R2" s="77"/>
      <c r="S2" s="77"/>
      <c r="T2" s="77"/>
      <c r="U2" s="77"/>
      <c r="V2" s="77"/>
      <c r="W2" s="77"/>
      <c r="X2" s="77"/>
      <c r="Y2" s="77"/>
      <c r="Z2" s="77"/>
      <c r="AA2" s="77"/>
      <c r="AB2" s="77"/>
      <c r="AC2" s="77"/>
      <c r="AD2" s="77"/>
      <c r="AE2" s="77"/>
    </row>
    <row r="3" spans="1:31">
      <c r="A3" s="77"/>
      <c r="B3" s="77"/>
      <c r="C3" s="77"/>
      <c r="D3" s="77"/>
      <c r="E3" s="77"/>
      <c r="F3" s="77"/>
      <c r="G3" s="77"/>
      <c r="H3" s="77"/>
      <c r="I3" s="77"/>
      <c r="J3" s="77"/>
      <c r="K3" s="77"/>
      <c r="L3" s="77"/>
      <c r="M3" s="77"/>
      <c r="N3" s="77"/>
      <c r="O3" s="77"/>
      <c r="P3" s="77"/>
      <c r="Q3" s="77"/>
      <c r="R3" s="77"/>
      <c r="S3" s="77"/>
      <c r="T3" s="77"/>
      <c r="U3" s="77"/>
      <c r="V3" s="77"/>
      <c r="W3" s="77"/>
      <c r="X3" s="77"/>
      <c r="Y3" s="77"/>
      <c r="Z3" s="77"/>
      <c r="AA3" s="77"/>
      <c r="AB3" s="77"/>
      <c r="AC3" s="77"/>
      <c r="AD3" s="77"/>
      <c r="AE3" s="77"/>
    </row>
    <row r="4" spans="1:31">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77"/>
      <c r="AE4" s="77"/>
    </row>
    <row r="5" spans="1:31">
      <c r="A5" s="77"/>
      <c r="B5" s="77"/>
      <c r="C5" s="77"/>
      <c r="D5" s="77"/>
      <c r="E5" s="77"/>
      <c r="F5" s="77"/>
      <c r="G5" s="77"/>
      <c r="H5" s="77"/>
      <c r="I5" s="77"/>
      <c r="J5" s="77"/>
      <c r="K5" s="77"/>
      <c r="L5" s="77"/>
      <c r="M5" s="77"/>
      <c r="N5" s="77"/>
      <c r="O5" s="77"/>
      <c r="P5" s="77"/>
      <c r="Q5" s="77"/>
      <c r="R5" s="77"/>
      <c r="S5" s="77"/>
      <c r="T5" s="77"/>
      <c r="U5" s="77"/>
      <c r="V5" s="77"/>
      <c r="W5" s="77"/>
      <c r="X5" s="77"/>
      <c r="Y5" s="77"/>
      <c r="Z5" s="77"/>
      <c r="AA5" s="77"/>
      <c r="AB5" s="77"/>
      <c r="AC5" s="77"/>
      <c r="AD5" s="77"/>
      <c r="AE5" s="77"/>
    </row>
    <row r="6" spans="1:31">
      <c r="A6" s="77"/>
      <c r="B6" s="77"/>
      <c r="C6" s="77"/>
      <c r="D6" s="77"/>
      <c r="E6" s="77"/>
      <c r="F6" s="77"/>
      <c r="G6" s="77"/>
      <c r="H6" s="77"/>
      <c r="I6" s="77"/>
      <c r="J6" s="77"/>
      <c r="K6" s="77"/>
      <c r="L6" s="77"/>
      <c r="M6" s="77"/>
      <c r="N6" s="77"/>
      <c r="O6" s="77"/>
      <c r="P6" s="77"/>
      <c r="Q6" s="77"/>
      <c r="R6" s="77"/>
      <c r="S6" s="77"/>
      <c r="T6" s="77"/>
      <c r="U6" s="77"/>
      <c r="V6" s="77"/>
      <c r="W6" s="77"/>
      <c r="X6" s="77"/>
      <c r="Y6" s="77"/>
      <c r="Z6" s="77"/>
      <c r="AA6" s="77"/>
      <c r="AB6" s="77"/>
      <c r="AC6" s="77"/>
      <c r="AD6" s="77"/>
      <c r="AE6" s="77"/>
    </row>
    <row r="7" spans="1:31">
      <c r="A7" s="77"/>
      <c r="B7" s="77"/>
      <c r="C7" s="77"/>
      <c r="D7" s="77"/>
      <c r="E7" s="77"/>
      <c r="F7" s="77"/>
      <c r="G7" s="77"/>
      <c r="H7" s="77"/>
      <c r="I7" s="77"/>
      <c r="J7" s="77"/>
      <c r="K7" s="77"/>
      <c r="L7" s="77"/>
      <c r="M7" s="77"/>
      <c r="N7" s="77"/>
      <c r="O7" s="77"/>
      <c r="P7" s="77"/>
      <c r="Q7" s="77"/>
      <c r="R7" s="77"/>
      <c r="S7" s="77"/>
      <c r="T7" s="77"/>
      <c r="U7" s="77"/>
      <c r="V7" s="77"/>
      <c r="W7" s="77"/>
      <c r="X7" s="77"/>
      <c r="Y7" s="77"/>
      <c r="Z7" s="77"/>
      <c r="AA7" s="77"/>
      <c r="AB7" s="77"/>
      <c r="AC7" s="77"/>
      <c r="AD7" s="77"/>
      <c r="AE7" s="77"/>
    </row>
    <row r="8" spans="1:31">
      <c r="A8" s="77"/>
      <c r="B8" s="77"/>
      <c r="C8" s="77"/>
      <c r="D8" s="77"/>
      <c r="E8" s="77"/>
      <c r="F8" s="77"/>
      <c r="G8" s="77"/>
      <c r="H8" s="77"/>
      <c r="I8" s="77"/>
      <c r="J8" s="77"/>
      <c r="K8" s="77"/>
      <c r="L8" s="77"/>
      <c r="M8" s="77"/>
      <c r="N8" s="77"/>
      <c r="O8" s="77"/>
      <c r="P8" s="77"/>
      <c r="Q8" s="77"/>
      <c r="R8" s="77"/>
      <c r="S8" s="77"/>
      <c r="T8" s="77"/>
      <c r="U8" s="77"/>
      <c r="V8" s="77"/>
      <c r="W8" s="77"/>
      <c r="X8" s="77"/>
      <c r="Y8" s="77"/>
      <c r="Z8" s="77"/>
      <c r="AA8" s="77"/>
      <c r="AB8" s="77"/>
      <c r="AC8" s="77"/>
      <c r="AD8" s="77"/>
      <c r="AE8" s="77"/>
    </row>
    <row r="9" spans="1:31">
      <c r="A9" s="77"/>
      <c r="B9" s="77"/>
      <c r="C9" s="77"/>
      <c r="D9" s="77"/>
      <c r="E9" s="77"/>
      <c r="F9" s="77"/>
      <c r="G9" s="77"/>
      <c r="H9" s="77"/>
      <c r="I9" s="77"/>
      <c r="J9" s="77"/>
      <c r="K9" s="77"/>
      <c r="L9" s="77"/>
      <c r="M9" s="77"/>
      <c r="N9" s="77"/>
      <c r="O9" s="77"/>
      <c r="P9" s="77"/>
      <c r="Q9" s="77"/>
      <c r="R9" s="77"/>
      <c r="S9" s="77"/>
      <c r="T9" s="77"/>
      <c r="U9" s="77"/>
      <c r="V9" s="77"/>
      <c r="W9" s="77"/>
      <c r="X9" s="77"/>
      <c r="Y9" s="77"/>
      <c r="Z9" s="77"/>
      <c r="AA9" s="77"/>
      <c r="AB9" s="77"/>
      <c r="AC9" s="77"/>
      <c r="AD9" s="77"/>
      <c r="AE9" s="77"/>
    </row>
    <row r="10" spans="1:31">
      <c r="A10" s="77"/>
      <c r="B10" s="77"/>
      <c r="C10" s="77"/>
      <c r="D10" s="77"/>
      <c r="E10" s="77"/>
      <c r="F10" s="77"/>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row>
    <row r="11" spans="1:3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row>
    <row r="12" spans="1:31">
      <c r="A12" s="77"/>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row>
    <row r="13" spans="1:3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Z13" s="77"/>
      <c r="AA13" s="77"/>
      <c r="AB13" s="77"/>
      <c r="AC13" s="77"/>
      <c r="AD13" s="77"/>
      <c r="AE13" s="77"/>
    </row>
    <row r="14" spans="1:31">
      <c r="A14" s="77"/>
      <c r="B14" s="77"/>
      <c r="C14" s="77"/>
      <c r="D14" s="77"/>
      <c r="E14" s="77"/>
      <c r="F14" s="77"/>
      <c r="G14" s="77"/>
      <c r="H14" s="77"/>
      <c r="I14" s="77"/>
      <c r="J14" s="77"/>
      <c r="K14" s="77"/>
      <c r="L14" s="77"/>
      <c r="M14" s="77"/>
      <c r="N14" s="77"/>
      <c r="O14" s="77"/>
      <c r="P14" s="77"/>
      <c r="Q14" s="77"/>
      <c r="R14" s="77"/>
      <c r="S14" s="77"/>
      <c r="T14" s="77"/>
      <c r="U14" s="77"/>
      <c r="V14" s="77"/>
      <c r="W14" s="77"/>
      <c r="X14" s="77"/>
      <c r="Y14" s="77"/>
      <c r="Z14" s="77"/>
      <c r="AA14" s="77"/>
      <c r="AB14" s="77"/>
      <c r="AC14" s="77"/>
      <c r="AD14" s="77"/>
      <c r="AE14" s="77"/>
    </row>
    <row r="15" spans="1:31">
      <c r="A15" s="77"/>
      <c r="B15" s="77"/>
      <c r="C15" s="77"/>
      <c r="D15" s="77"/>
      <c r="E15" s="77"/>
      <c r="F15" s="77"/>
      <c r="G15" s="77"/>
      <c r="H15" s="77"/>
      <c r="I15" s="77"/>
      <c r="J15" s="77"/>
      <c r="K15" s="77"/>
      <c r="L15" s="77"/>
      <c r="M15" s="77"/>
      <c r="N15" s="77"/>
      <c r="O15" s="77"/>
      <c r="P15" s="77"/>
      <c r="Q15" s="77"/>
      <c r="R15" s="77"/>
      <c r="S15" s="77"/>
      <c r="T15" s="77"/>
      <c r="U15" s="77"/>
      <c r="V15" s="77"/>
      <c r="W15" s="77"/>
      <c r="X15" s="77"/>
      <c r="Y15" s="77"/>
      <c r="Z15" s="77"/>
      <c r="AA15" s="77"/>
      <c r="AB15" s="77"/>
      <c r="AC15" s="77"/>
      <c r="AD15" s="77"/>
      <c r="AE15" s="77"/>
    </row>
    <row r="16" spans="1:31">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77"/>
      <c r="AE16" s="77"/>
    </row>
    <row r="17" spans="1:31">
      <c r="A17" s="77"/>
      <c r="B17" s="77"/>
      <c r="C17" s="77"/>
      <c r="D17" s="77"/>
      <c r="E17" s="77"/>
      <c r="F17" s="77"/>
      <c r="G17" s="77"/>
      <c r="H17" s="77"/>
      <c r="I17" s="77"/>
      <c r="J17" s="77"/>
      <c r="K17" s="77"/>
      <c r="L17" s="77"/>
      <c r="M17" s="77"/>
      <c r="N17" s="77"/>
      <c r="O17" s="77"/>
      <c r="P17" s="77"/>
      <c r="Q17" s="77"/>
      <c r="R17" s="77"/>
      <c r="S17" s="77"/>
      <c r="T17" s="77"/>
      <c r="U17" s="77"/>
      <c r="V17" s="77"/>
      <c r="W17" s="77"/>
      <c r="X17" s="77"/>
      <c r="Y17" s="77"/>
      <c r="Z17" s="77"/>
      <c r="AA17" s="77"/>
      <c r="AB17" s="77"/>
      <c r="AC17" s="77"/>
      <c r="AD17" s="77"/>
      <c r="AE17" s="77"/>
    </row>
    <row r="18" spans="1:31">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77"/>
      <c r="AE18" s="77"/>
    </row>
    <row r="19" spans="1:31">
      <c r="A19" s="77"/>
      <c r="B19" s="77"/>
      <c r="C19" s="77"/>
      <c r="D19" s="77"/>
      <c r="E19" s="77"/>
      <c r="F19" s="77"/>
      <c r="G19" s="77"/>
      <c r="H19" s="77"/>
      <c r="I19" s="77"/>
      <c r="J19" s="77"/>
      <c r="K19" s="77"/>
      <c r="L19" s="77"/>
      <c r="M19" s="77"/>
      <c r="N19" s="77"/>
      <c r="O19" s="77"/>
      <c r="P19" s="77"/>
      <c r="Q19" s="77"/>
      <c r="R19" s="77"/>
      <c r="S19" s="77"/>
      <c r="T19" s="77"/>
      <c r="U19" s="77"/>
      <c r="V19" s="77"/>
      <c r="W19" s="77"/>
      <c r="X19" s="77"/>
      <c r="Y19" s="77"/>
      <c r="Z19" s="77"/>
      <c r="AA19" s="77"/>
      <c r="AB19" s="77"/>
      <c r="AC19" s="77"/>
      <c r="AD19" s="77"/>
      <c r="AE19" s="77"/>
    </row>
    <row r="20" spans="1:31">
      <c r="A20" s="77"/>
      <c r="B20" s="77"/>
      <c r="C20" s="77"/>
      <c r="D20" s="77"/>
      <c r="E20" s="77"/>
      <c r="F20" s="77"/>
      <c r="G20" s="77"/>
      <c r="H20" s="77"/>
      <c r="I20" s="77"/>
      <c r="J20" s="77"/>
      <c r="K20" s="77"/>
      <c r="L20" s="77"/>
      <c r="M20" s="77"/>
      <c r="N20" s="77"/>
      <c r="O20" s="77"/>
      <c r="P20" s="77"/>
      <c r="Q20" s="77"/>
      <c r="R20" s="77"/>
      <c r="S20" s="77"/>
      <c r="T20" s="77"/>
      <c r="U20" s="77"/>
      <c r="V20" s="77"/>
      <c r="W20" s="77"/>
      <c r="X20" s="77"/>
      <c r="Y20" s="77"/>
      <c r="Z20" s="77"/>
      <c r="AA20" s="77"/>
      <c r="AB20" s="77"/>
      <c r="AC20" s="77"/>
      <c r="AD20" s="77"/>
      <c r="AE20" s="77"/>
    </row>
    <row r="21" spans="1:31">
      <c r="A21" s="77"/>
      <c r="B21" s="77"/>
      <c r="C21" s="77"/>
      <c r="D21" s="77"/>
      <c r="E21" s="77"/>
      <c r="F21" s="77"/>
      <c r="G21" s="77"/>
      <c r="H21" s="77"/>
      <c r="I21" s="77"/>
      <c r="J21" s="77"/>
      <c r="K21" s="77"/>
      <c r="L21" s="77"/>
      <c r="M21" s="77"/>
      <c r="N21" s="77"/>
      <c r="O21" s="77"/>
      <c r="P21" s="77"/>
      <c r="Q21" s="77"/>
      <c r="R21" s="77"/>
      <c r="S21" s="77"/>
      <c r="T21" s="77"/>
      <c r="U21" s="77"/>
      <c r="V21" s="77"/>
      <c r="W21" s="77"/>
      <c r="X21" s="77"/>
      <c r="Y21" s="77"/>
      <c r="Z21" s="77"/>
      <c r="AA21" s="77"/>
      <c r="AB21" s="77"/>
      <c r="AC21" s="77"/>
      <c r="AD21" s="77"/>
      <c r="AE21" s="77"/>
    </row>
    <row r="22" spans="1:31">
      <c r="A22" s="77"/>
      <c r="B22" s="77"/>
      <c r="C22" s="77"/>
      <c r="D22" s="77"/>
      <c r="E22" s="77"/>
      <c r="F22" s="77"/>
      <c r="G22" s="77"/>
      <c r="H22" s="77"/>
      <c r="I22" s="77"/>
      <c r="J22" s="77"/>
      <c r="K22" s="77"/>
      <c r="L22" s="77"/>
      <c r="M22" s="77"/>
      <c r="N22" s="77"/>
      <c r="O22" s="77"/>
      <c r="P22" s="77"/>
      <c r="Q22" s="77"/>
      <c r="R22" s="77"/>
      <c r="S22" s="77"/>
      <c r="T22" s="77"/>
      <c r="U22" s="77"/>
      <c r="V22" s="77"/>
      <c r="W22" s="77"/>
      <c r="X22" s="77"/>
      <c r="Y22" s="77"/>
      <c r="Z22" s="77"/>
      <c r="AA22" s="77"/>
      <c r="AB22" s="77"/>
      <c r="AC22" s="77"/>
      <c r="AD22" s="77"/>
      <c r="AE22" s="77"/>
    </row>
    <row r="23" spans="1:31">
      <c r="A23" s="77"/>
      <c r="B23" s="77"/>
      <c r="C23" s="77"/>
      <c r="D23" s="77"/>
      <c r="E23" s="77"/>
      <c r="F23" s="77"/>
      <c r="G23" s="77"/>
      <c r="H23" s="77"/>
      <c r="I23" s="77"/>
      <c r="J23" s="77"/>
      <c r="K23" s="77"/>
      <c r="L23" s="77"/>
      <c r="M23" s="77"/>
      <c r="N23" s="77"/>
      <c r="O23" s="77"/>
      <c r="P23" s="77"/>
      <c r="Q23" s="77"/>
      <c r="R23" s="77"/>
      <c r="S23" s="77"/>
      <c r="T23" s="77"/>
      <c r="U23" s="77"/>
      <c r="V23" s="77"/>
      <c r="W23" s="77"/>
      <c r="X23" s="77"/>
      <c r="Y23" s="77"/>
      <c r="Z23" s="77"/>
      <c r="AA23" s="77"/>
      <c r="AB23" s="77"/>
      <c r="AC23" s="77"/>
      <c r="AD23" s="77"/>
      <c r="AE23" s="77"/>
    </row>
    <row r="24" spans="1:31">
      <c r="A24" s="77"/>
      <c r="B24" s="77"/>
      <c r="C24" s="77"/>
      <c r="D24" s="77"/>
      <c r="E24" s="77"/>
      <c r="F24" s="77"/>
      <c r="G24" s="77"/>
      <c r="H24" s="77"/>
      <c r="I24" s="77"/>
      <c r="J24" s="77"/>
      <c r="K24" s="77"/>
      <c r="L24" s="77"/>
      <c r="M24" s="77"/>
      <c r="N24" s="77"/>
      <c r="O24" s="77"/>
      <c r="P24" s="77"/>
      <c r="Q24" s="77"/>
      <c r="R24" s="77"/>
      <c r="S24" s="77"/>
      <c r="T24" s="77"/>
      <c r="U24" s="77"/>
      <c r="V24" s="77"/>
      <c r="W24" s="77"/>
      <c r="X24" s="77"/>
      <c r="Y24" s="77"/>
      <c r="Z24" s="77"/>
      <c r="AA24" s="77"/>
      <c r="AB24" s="77"/>
      <c r="AC24" s="77"/>
      <c r="AD24" s="77"/>
      <c r="AE24" s="77"/>
    </row>
    <row r="25" spans="1:31">
      <c r="A25" s="77"/>
      <c r="B25" s="77"/>
      <c r="C25" s="77"/>
      <c r="D25" s="77"/>
      <c r="E25" s="77"/>
      <c r="F25" s="77"/>
      <c r="G25" s="77"/>
      <c r="H25" s="77"/>
      <c r="I25" s="77"/>
      <c r="J25" s="77"/>
      <c r="K25" s="77"/>
      <c r="L25" s="77"/>
      <c r="M25" s="77"/>
      <c r="N25" s="77"/>
      <c r="O25" s="77"/>
      <c r="P25" s="77"/>
      <c r="Q25" s="77"/>
      <c r="R25" s="77"/>
      <c r="S25" s="77"/>
      <c r="T25" s="77"/>
      <c r="U25" s="77"/>
      <c r="V25" s="77"/>
      <c r="W25" s="77"/>
      <c r="X25" s="77"/>
      <c r="Y25" s="77"/>
      <c r="Z25" s="77"/>
      <c r="AA25" s="77"/>
      <c r="AB25" s="77"/>
      <c r="AC25" s="77"/>
      <c r="AD25" s="77"/>
      <c r="AE25" s="77"/>
    </row>
    <row r="26" spans="1:3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c r="A27" s="77"/>
      <c r="B27" s="77"/>
      <c r="C27" s="77"/>
      <c r="D27" s="77"/>
      <c r="E27" s="77"/>
      <c r="F27" s="77"/>
      <c r="G27" s="77"/>
      <c r="H27" s="77"/>
      <c r="I27" s="77"/>
      <c r="J27" s="77"/>
      <c r="K27" s="77"/>
      <c r="L27" s="77"/>
      <c r="M27" s="77"/>
      <c r="N27" s="77"/>
      <c r="O27" s="77"/>
      <c r="P27" s="77"/>
      <c r="Q27" s="77"/>
      <c r="R27" s="77"/>
      <c r="S27" s="77"/>
      <c r="T27" s="77"/>
      <c r="U27" s="77"/>
      <c r="V27" s="77"/>
      <c r="W27" s="77"/>
      <c r="X27" s="77"/>
      <c r="Y27" s="77"/>
      <c r="Z27" s="77"/>
      <c r="AA27" s="77"/>
      <c r="AB27" s="77"/>
      <c r="AC27" s="77"/>
      <c r="AD27" s="77"/>
      <c r="AE27" s="77"/>
    </row>
    <row r="28" spans="1:3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c r="A29" s="77"/>
      <c r="B29" s="77"/>
      <c r="C29" s="77"/>
      <c r="D29" s="77"/>
      <c r="E29" s="77"/>
      <c r="F29" s="77"/>
      <c r="G29" s="77"/>
      <c r="H29" s="77"/>
      <c r="I29" s="77"/>
      <c r="J29" s="77"/>
      <c r="K29" s="77"/>
      <c r="L29" s="77"/>
      <c r="M29" s="77"/>
      <c r="N29" s="77"/>
      <c r="O29" s="77"/>
      <c r="P29" s="77"/>
      <c r="Q29" s="77"/>
      <c r="R29" s="77"/>
      <c r="S29" s="77"/>
      <c r="T29" s="77"/>
      <c r="U29" s="77"/>
      <c r="V29" s="77"/>
      <c r="W29" s="77"/>
      <c r="X29" s="77"/>
      <c r="Y29" s="77"/>
      <c r="Z29" s="77"/>
      <c r="AA29" s="77"/>
      <c r="AB29" s="77"/>
      <c r="AC29" s="77"/>
      <c r="AD29" s="77"/>
      <c r="AE29" s="77"/>
    </row>
    <row r="30" spans="1:31">
      <c r="A30" s="77"/>
      <c r="B30" s="77"/>
      <c r="C30" s="77"/>
      <c r="D30" s="77"/>
      <c r="E30" s="77"/>
      <c r="F30" s="77"/>
      <c r="G30" s="77"/>
      <c r="H30" s="77"/>
      <c r="I30" s="77"/>
      <c r="J30" s="77"/>
      <c r="K30" s="77"/>
      <c r="L30" s="77"/>
      <c r="M30" s="77"/>
      <c r="N30" s="77"/>
      <c r="O30" s="77"/>
      <c r="P30" s="77"/>
      <c r="Q30" s="77"/>
      <c r="R30" s="77"/>
      <c r="S30" s="77"/>
      <c r="T30" s="77"/>
      <c r="U30" s="77"/>
      <c r="V30" s="77"/>
      <c r="W30" s="77"/>
      <c r="X30" s="77"/>
      <c r="Y30" s="77"/>
      <c r="Z30" s="77"/>
      <c r="AA30" s="77"/>
      <c r="AB30" s="77"/>
      <c r="AC30" s="77"/>
      <c r="AD30" s="77"/>
      <c r="AE30" s="77"/>
    </row>
    <row r="31" spans="1:31">
      <c r="A31" s="77"/>
      <c r="B31" s="77"/>
      <c r="C31" s="77"/>
      <c r="D31" s="77"/>
      <c r="E31" s="77"/>
      <c r="F31" s="77"/>
      <c r="G31" s="77"/>
      <c r="H31" s="77"/>
      <c r="I31" s="77"/>
      <c r="J31" s="77"/>
      <c r="K31" s="77"/>
      <c r="L31" s="77"/>
      <c r="M31" s="77"/>
      <c r="N31" s="77"/>
      <c r="O31" s="77"/>
      <c r="P31" s="77"/>
      <c r="Q31" s="77"/>
      <c r="R31" s="77"/>
      <c r="S31" s="77"/>
      <c r="T31" s="77"/>
      <c r="U31" s="77"/>
      <c r="V31" s="77"/>
      <c r="W31" s="77"/>
      <c r="X31" s="77"/>
      <c r="Y31" s="77"/>
      <c r="Z31" s="77"/>
      <c r="AA31" s="77"/>
      <c r="AB31" s="77"/>
      <c r="AC31" s="77"/>
      <c r="AD31" s="77"/>
      <c r="AE31" s="77"/>
    </row>
    <row r="32" spans="1:31">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77"/>
    </row>
    <row r="33" spans="1:31">
      <c r="A33" s="77"/>
      <c r="B33" s="77"/>
      <c r="C33" s="77"/>
      <c r="D33" s="77"/>
      <c r="E33" s="77"/>
      <c r="F33" s="77"/>
      <c r="G33" s="77"/>
      <c r="H33" s="77"/>
      <c r="I33" s="77"/>
      <c r="J33" s="77"/>
      <c r="K33" s="77"/>
      <c r="L33" s="77"/>
      <c r="M33" s="77"/>
      <c r="N33" s="77"/>
      <c r="O33" s="77"/>
      <c r="P33" s="77"/>
      <c r="Q33" s="77"/>
      <c r="R33" s="77"/>
      <c r="S33" s="77"/>
      <c r="T33" s="77"/>
      <c r="U33" s="77"/>
      <c r="V33" s="77"/>
      <c r="W33" s="77"/>
      <c r="X33" s="77"/>
      <c r="Y33" s="77"/>
      <c r="Z33" s="77"/>
      <c r="AA33" s="77"/>
      <c r="AB33" s="77"/>
      <c r="AC33" s="77"/>
      <c r="AD33" s="77"/>
      <c r="AE33" s="77"/>
    </row>
    <row r="34" spans="1:31">
      <c r="A34" s="77"/>
      <c r="B34" s="77"/>
      <c r="C34" s="77"/>
      <c r="D34" s="77"/>
      <c r="E34" s="77"/>
      <c r="F34" s="77"/>
      <c r="G34" s="77"/>
      <c r="H34" s="77"/>
      <c r="I34" s="77"/>
      <c r="J34" s="77"/>
      <c r="K34" s="77"/>
      <c r="L34" s="77"/>
      <c r="M34" s="77"/>
      <c r="N34" s="77"/>
      <c r="O34" s="77"/>
      <c r="P34" s="77"/>
      <c r="Q34" s="77"/>
      <c r="R34" s="77"/>
      <c r="S34" s="77"/>
      <c r="T34" s="77"/>
      <c r="U34" s="77"/>
      <c r="V34" s="77"/>
      <c r="W34" s="77"/>
      <c r="X34" s="77"/>
      <c r="Y34" s="77"/>
      <c r="Z34" s="77"/>
      <c r="AA34" s="77"/>
      <c r="AB34" s="77"/>
      <c r="AC34" s="77"/>
      <c r="AD34" s="77"/>
      <c r="AE34" s="77"/>
    </row>
    <row r="35" spans="1:31">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77"/>
      <c r="AE35" s="77"/>
    </row>
    <row r="36" spans="1:31">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77"/>
      <c r="AE36" s="77"/>
    </row>
    <row r="37" spans="1:31">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77"/>
      <c r="AE37" s="77"/>
    </row>
    <row r="38" spans="1:31">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77"/>
      <c r="AE38" s="77"/>
    </row>
    <row r="39" spans="1:31">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77"/>
      <c r="AE39" s="77"/>
    </row>
    <row r="40" spans="1:31">
      <c r="A40" s="77"/>
      <c r="B40" s="77"/>
      <c r="C40" s="77"/>
      <c r="D40" s="77"/>
      <c r="E40" s="77"/>
      <c r="F40" s="77"/>
      <c r="G40" s="77"/>
      <c r="H40" s="77"/>
      <c r="I40" s="77"/>
      <c r="J40" s="77"/>
      <c r="K40" s="77"/>
      <c r="L40" s="77"/>
      <c r="M40" s="77"/>
      <c r="N40" s="77"/>
      <c r="O40" s="77"/>
      <c r="P40" s="77"/>
      <c r="Q40" s="77"/>
      <c r="R40" s="77"/>
      <c r="S40" s="77"/>
      <c r="T40" s="77"/>
      <c r="U40" s="77"/>
      <c r="V40" s="77"/>
      <c r="W40" s="77"/>
      <c r="X40" s="77"/>
      <c r="Y40" s="77"/>
      <c r="Z40" s="77"/>
      <c r="AA40" s="77"/>
      <c r="AB40" s="77"/>
      <c r="AC40" s="77"/>
      <c r="AD40" s="77"/>
      <c r="AE40" s="77"/>
    </row>
    <row r="41" spans="1:3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c r="A42" s="77"/>
      <c r="B42" s="77"/>
      <c r="C42" s="77"/>
      <c r="D42" s="77"/>
      <c r="E42" s="77"/>
      <c r="F42" s="77"/>
      <c r="G42" s="77"/>
      <c r="H42" s="77"/>
      <c r="I42" s="77"/>
      <c r="J42" s="77"/>
      <c r="K42" s="77"/>
      <c r="L42" s="77"/>
      <c r="M42" s="77"/>
      <c r="N42" s="77"/>
      <c r="O42" s="77"/>
      <c r="P42" s="77"/>
      <c r="Q42" s="77"/>
      <c r="R42" s="77"/>
      <c r="S42" s="77"/>
      <c r="T42" s="77"/>
      <c r="U42" s="77"/>
      <c r="V42" s="77"/>
      <c r="W42" s="77"/>
      <c r="X42" s="77"/>
      <c r="Y42" s="77"/>
      <c r="Z42" s="77"/>
      <c r="AA42" s="77"/>
      <c r="AB42" s="77"/>
      <c r="AC42" s="77"/>
      <c r="AD42" s="77"/>
      <c r="AE42" s="77"/>
    </row>
    <row r="43" spans="1:31">
      <c r="A43" s="77"/>
      <c r="B43" s="77"/>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row>
    <row r="44" spans="1:31">
      <c r="A44" s="77"/>
      <c r="B44" s="77"/>
      <c r="C44" s="77"/>
      <c r="D44" s="77"/>
      <c r="E44" s="77"/>
      <c r="F44" s="77"/>
      <c r="G44" s="77"/>
      <c r="H44" s="77"/>
      <c r="I44" s="77"/>
      <c r="J44" s="77"/>
      <c r="K44" s="77"/>
      <c r="L44" s="77"/>
      <c r="M44" s="77"/>
      <c r="N44" s="77"/>
      <c r="O44" s="77"/>
      <c r="P44" s="77"/>
      <c r="Q44" s="77"/>
      <c r="R44" s="77"/>
      <c r="S44" s="77"/>
      <c r="T44" s="77"/>
      <c r="U44" s="77"/>
      <c r="V44" s="77"/>
      <c r="W44" s="77"/>
      <c r="X44" s="77"/>
      <c r="Y44" s="77"/>
      <c r="Z44" s="77"/>
      <c r="AA44" s="77"/>
      <c r="AB44" s="77"/>
      <c r="AC44" s="77"/>
      <c r="AD44" s="77"/>
      <c r="AE44" s="77"/>
    </row>
    <row r="45" spans="1:31">
      <c r="A45" s="77"/>
      <c r="B45" s="77"/>
      <c r="C45" s="77"/>
      <c r="D45" s="77"/>
      <c r="E45" s="77"/>
      <c r="F45" s="77"/>
      <c r="G45" s="77"/>
      <c r="H45" s="77"/>
      <c r="I45" s="77"/>
      <c r="J45" s="77"/>
      <c r="K45" s="77"/>
      <c r="L45" s="77"/>
      <c r="M45" s="77"/>
      <c r="N45" s="77"/>
      <c r="O45" s="77"/>
      <c r="P45" s="77"/>
      <c r="Q45" s="77"/>
      <c r="R45" s="77"/>
      <c r="S45" s="77"/>
      <c r="T45" s="77"/>
      <c r="U45" s="77"/>
      <c r="V45" s="77"/>
      <c r="W45" s="77"/>
      <c r="X45" s="77"/>
      <c r="Y45" s="77"/>
      <c r="Z45" s="77"/>
      <c r="AA45" s="77"/>
      <c r="AB45" s="77"/>
      <c r="AC45" s="77"/>
      <c r="AD45" s="77"/>
      <c r="AE45" s="77"/>
    </row>
    <row r="46" spans="1:31">
      <c r="A46" s="77"/>
      <c r="B46" s="77"/>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row>
    <row r="47" spans="1:31">
      <c r="A47" s="77"/>
      <c r="B47" s="77"/>
      <c r="C47" s="77"/>
      <c r="D47" s="77"/>
      <c r="E47" s="77"/>
      <c r="F47" s="77"/>
      <c r="G47" s="77"/>
      <c r="H47" s="77"/>
      <c r="I47" s="77"/>
      <c r="J47" s="77"/>
      <c r="K47" s="77"/>
      <c r="L47" s="77"/>
      <c r="M47" s="77"/>
      <c r="N47" s="77"/>
      <c r="O47" s="77"/>
      <c r="P47" s="77"/>
      <c r="Q47" s="77"/>
      <c r="R47" s="77"/>
      <c r="S47" s="77"/>
      <c r="T47" s="77"/>
      <c r="U47" s="77"/>
      <c r="V47" s="77"/>
      <c r="W47" s="77"/>
      <c r="X47" s="77"/>
      <c r="Y47" s="77"/>
      <c r="Z47" s="77"/>
      <c r="AA47" s="77"/>
      <c r="AB47" s="77"/>
      <c r="AC47" s="77"/>
      <c r="AD47" s="77"/>
      <c r="AE47" s="77"/>
    </row>
    <row r="48" spans="1:31">
      <c r="A48" s="77"/>
      <c r="B48" s="77"/>
      <c r="C48" s="77"/>
      <c r="D48" s="77"/>
      <c r="E48" s="77"/>
      <c r="F48" s="77"/>
      <c r="G48" s="77"/>
      <c r="H48" s="77"/>
      <c r="I48" s="77"/>
      <c r="J48" s="77"/>
      <c r="K48" s="77"/>
      <c r="L48" s="77"/>
      <c r="M48" s="77"/>
      <c r="N48" s="77"/>
      <c r="O48" s="77"/>
      <c r="P48" s="77"/>
      <c r="Q48" s="77"/>
      <c r="R48" s="77"/>
      <c r="S48" s="77"/>
      <c r="T48" s="77"/>
      <c r="U48" s="77"/>
      <c r="V48" s="77"/>
      <c r="W48" s="77"/>
      <c r="X48" s="77"/>
      <c r="Y48" s="77"/>
      <c r="Z48" s="77"/>
      <c r="AA48" s="77"/>
      <c r="AB48" s="77"/>
      <c r="AC48" s="77"/>
      <c r="AD48" s="77"/>
      <c r="AE48" s="77"/>
    </row>
    <row r="49" spans="1:31">
      <c r="A49" s="77"/>
      <c r="B49" s="77"/>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row>
    <row r="50" spans="1:31">
      <c r="A50" s="77"/>
      <c r="B50" s="77"/>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row>
    <row r="51" spans="1:31">
      <c r="A51" s="77"/>
      <c r="B51" s="77"/>
      <c r="C51" s="77"/>
      <c r="D51" s="77"/>
      <c r="E51" s="77"/>
      <c r="F51" s="77"/>
      <c r="G51" s="77"/>
      <c r="H51" s="77"/>
      <c r="I51" s="77"/>
      <c r="J51" s="77"/>
      <c r="K51" s="77"/>
      <c r="L51" s="77"/>
      <c r="M51" s="77"/>
      <c r="N51" s="77"/>
      <c r="O51" s="77"/>
      <c r="P51" s="77"/>
      <c r="Q51" s="77"/>
      <c r="R51" s="77"/>
      <c r="S51" s="77"/>
      <c r="T51" s="77"/>
      <c r="U51" s="77"/>
      <c r="V51" s="77"/>
      <c r="W51" s="77"/>
      <c r="X51" s="77"/>
      <c r="Y51" s="77"/>
      <c r="Z51" s="77"/>
      <c r="AA51" s="77"/>
      <c r="AB51" s="77"/>
      <c r="AC51" s="77"/>
      <c r="AD51" s="77"/>
      <c r="AE51" s="77"/>
    </row>
    <row r="52" spans="1:31">
      <c r="A52" s="77"/>
      <c r="B52" s="77"/>
      <c r="C52" s="77"/>
      <c r="D52" s="77"/>
      <c r="E52" s="77"/>
      <c r="F52" s="77"/>
      <c r="G52" s="77"/>
      <c r="H52" s="77"/>
      <c r="I52" s="77"/>
      <c r="J52" s="77"/>
      <c r="K52" s="77"/>
      <c r="L52" s="77"/>
      <c r="M52" s="77"/>
      <c r="N52" s="77"/>
      <c r="O52" s="77"/>
      <c r="P52" s="77"/>
      <c r="Q52" s="77"/>
      <c r="R52" s="77"/>
      <c r="S52" s="77"/>
      <c r="T52" s="77"/>
      <c r="U52" s="77"/>
      <c r="V52" s="77"/>
      <c r="W52" s="77"/>
      <c r="X52" s="77"/>
      <c r="Y52" s="77"/>
      <c r="Z52" s="77"/>
      <c r="AA52" s="77"/>
      <c r="AB52" s="77"/>
      <c r="AC52" s="77"/>
      <c r="AD52" s="77"/>
      <c r="AE52" s="77"/>
    </row>
    <row r="53" spans="1:31">
      <c r="A53" s="77"/>
      <c r="B53" s="77"/>
      <c r="C53" s="77"/>
      <c r="D53" s="77"/>
      <c r="E53" s="77"/>
      <c r="F53" s="77"/>
      <c r="G53" s="77"/>
      <c r="H53" s="77"/>
      <c r="I53" s="77"/>
      <c r="J53" s="77"/>
      <c r="K53" s="77"/>
      <c r="L53" s="77"/>
      <c r="M53" s="77"/>
      <c r="N53" s="77"/>
      <c r="O53" s="77"/>
      <c r="P53" s="77"/>
      <c r="Q53" s="77"/>
      <c r="R53" s="77"/>
      <c r="S53" s="77"/>
      <c r="T53" s="77"/>
      <c r="U53" s="77"/>
      <c r="V53" s="77"/>
      <c r="W53" s="77"/>
      <c r="X53" s="77"/>
      <c r="Y53" s="77"/>
      <c r="Z53" s="77"/>
      <c r="AA53" s="77"/>
      <c r="AB53" s="77"/>
      <c r="AC53" s="77"/>
      <c r="AD53" s="77"/>
      <c r="AE53" s="77"/>
    </row>
    <row r="54" spans="1:31">
      <c r="A54" s="77"/>
      <c r="B54" s="77"/>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row>
    <row r="55" spans="1:31">
      <c r="A55" s="77"/>
      <c r="B55" s="77"/>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row>
    <row r="56" spans="1:31">
      <c r="A56" s="77"/>
      <c r="B56" s="77"/>
      <c r="C56" s="77"/>
      <c r="D56" s="77"/>
      <c r="E56" s="77"/>
      <c r="F56" s="77"/>
      <c r="G56" s="77"/>
      <c r="H56" s="77"/>
      <c r="I56" s="77"/>
      <c r="J56" s="77"/>
      <c r="K56" s="77"/>
      <c r="L56" s="77"/>
      <c r="M56" s="77"/>
      <c r="N56" s="77"/>
      <c r="O56" s="77"/>
      <c r="P56" s="77"/>
      <c r="Q56" s="77"/>
      <c r="R56" s="77"/>
      <c r="S56" s="77"/>
      <c r="T56" s="77"/>
      <c r="U56" s="77"/>
      <c r="V56" s="77"/>
      <c r="W56" s="77"/>
      <c r="X56" s="77"/>
      <c r="Y56" s="77"/>
      <c r="Z56" s="77"/>
      <c r="AA56" s="77"/>
      <c r="AB56" s="77"/>
      <c r="AC56" s="77"/>
      <c r="AD56" s="77"/>
      <c r="AE56" s="77"/>
    </row>
    <row r="57" spans="1:3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c r="A58" s="77"/>
      <c r="B58" s="77"/>
      <c r="C58" s="77"/>
      <c r="D58" s="77"/>
      <c r="E58" s="77"/>
      <c r="F58" s="77"/>
      <c r="G58" s="77"/>
      <c r="H58" s="77"/>
      <c r="I58" s="77"/>
      <c r="J58" s="77"/>
      <c r="K58" s="77"/>
      <c r="L58" s="77"/>
      <c r="M58" s="77"/>
      <c r="N58" s="77"/>
      <c r="O58" s="77"/>
      <c r="P58" s="77"/>
      <c r="Q58" s="77"/>
      <c r="R58" s="77"/>
      <c r="S58" s="77"/>
      <c r="T58" s="77"/>
      <c r="U58" s="77"/>
      <c r="V58" s="77"/>
      <c r="W58" s="77"/>
      <c r="X58" s="77"/>
      <c r="Y58" s="77"/>
      <c r="Z58" s="77"/>
      <c r="AA58" s="77"/>
      <c r="AB58" s="77"/>
      <c r="AC58" s="77"/>
      <c r="AD58" s="77"/>
      <c r="AE58" s="77"/>
    </row>
    <row r="59" spans="1:31">
      <c r="A59" s="77"/>
      <c r="B59" s="77"/>
      <c r="C59" s="77"/>
      <c r="D59" s="77"/>
      <c r="E59" s="77"/>
      <c r="F59" s="77"/>
      <c r="G59" s="77"/>
      <c r="H59" s="77"/>
      <c r="I59" s="77"/>
      <c r="J59" s="77"/>
      <c r="K59" s="77"/>
      <c r="L59" s="77"/>
      <c r="M59" s="77"/>
      <c r="N59" s="77"/>
      <c r="O59" s="77"/>
      <c r="P59" s="77"/>
      <c r="Q59" s="77"/>
      <c r="R59" s="77"/>
      <c r="S59" s="77"/>
      <c r="T59" s="77"/>
      <c r="U59" s="77"/>
      <c r="V59" s="77"/>
      <c r="W59" s="77"/>
      <c r="X59" s="77"/>
      <c r="Y59" s="77"/>
      <c r="Z59" s="77"/>
      <c r="AA59" s="77"/>
      <c r="AB59" s="77"/>
      <c r="AC59" s="77"/>
      <c r="AD59" s="77"/>
      <c r="AE59" s="77"/>
    </row>
    <row r="60" spans="1:31">
      <c r="A60" s="77"/>
      <c r="B60" s="77"/>
      <c r="C60" s="77"/>
      <c r="D60" s="77"/>
      <c r="E60" s="77"/>
      <c r="F60" s="77"/>
      <c r="G60" s="77"/>
      <c r="H60" s="77"/>
      <c r="I60" s="77"/>
      <c r="J60" s="77"/>
      <c r="K60" s="77"/>
      <c r="L60" s="77"/>
      <c r="M60" s="77"/>
      <c r="N60" s="77"/>
      <c r="O60" s="77"/>
      <c r="P60" s="77"/>
      <c r="Q60" s="77"/>
      <c r="R60" s="77"/>
      <c r="S60" s="77"/>
      <c r="T60" s="77"/>
      <c r="U60" s="77"/>
      <c r="V60" s="77"/>
      <c r="W60" s="77"/>
      <c r="X60" s="77"/>
      <c r="Y60" s="77"/>
      <c r="Z60" s="77"/>
      <c r="AA60" s="77"/>
      <c r="AB60" s="77"/>
      <c r="AC60" s="77"/>
      <c r="AD60" s="77"/>
      <c r="AE60" s="77"/>
    </row>
    <row r="61" spans="1:31">
      <c r="A61" s="77"/>
      <c r="B61" s="77"/>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row>
    <row r="62" spans="1:31">
      <c r="A62" s="77"/>
      <c r="B62" s="77"/>
      <c r="C62" s="77"/>
      <c r="D62" s="77"/>
      <c r="E62" s="77"/>
      <c r="F62" s="77"/>
      <c r="G62" s="77"/>
      <c r="H62" s="77"/>
      <c r="I62" s="77"/>
      <c r="J62" s="77"/>
      <c r="K62" s="77"/>
      <c r="L62" s="77"/>
      <c r="M62" s="77"/>
      <c r="N62" s="77"/>
      <c r="O62" s="77"/>
      <c r="P62" s="77"/>
      <c r="Q62" s="77"/>
      <c r="R62" s="77"/>
      <c r="S62" s="77"/>
      <c r="T62" s="77"/>
      <c r="U62" s="77"/>
      <c r="V62" s="77"/>
      <c r="W62" s="77"/>
      <c r="X62" s="77"/>
      <c r="Y62" s="77"/>
      <c r="Z62" s="77"/>
      <c r="AA62" s="77"/>
      <c r="AB62" s="77"/>
      <c r="AC62" s="77"/>
      <c r="AD62" s="77"/>
      <c r="AE62" s="77"/>
    </row>
    <row r="63" spans="1:31">
      <c r="A63" s="77"/>
      <c r="B63" s="77"/>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row>
    <row r="64" spans="1:31">
      <c r="A64" s="77"/>
      <c r="B64" s="77"/>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row>
    <row r="65" spans="1:31">
      <c r="A65" s="77"/>
      <c r="B65" s="77"/>
      <c r="C65" s="77"/>
      <c r="D65" s="77"/>
      <c r="E65" s="77"/>
      <c r="F65" s="77"/>
      <c r="G65" s="77"/>
      <c r="H65" s="77"/>
      <c r="I65" s="77"/>
      <c r="J65" s="77"/>
      <c r="K65" s="77"/>
      <c r="L65" s="77"/>
      <c r="M65" s="77"/>
      <c r="N65" s="77"/>
      <c r="O65" s="77"/>
      <c r="P65" s="77"/>
      <c r="Q65" s="77"/>
      <c r="R65" s="77"/>
      <c r="S65" s="77"/>
      <c r="T65" s="77"/>
      <c r="U65" s="77"/>
      <c r="V65" s="77"/>
      <c r="W65" s="77"/>
      <c r="X65" s="77"/>
      <c r="Y65" s="77"/>
      <c r="Z65" s="77"/>
      <c r="AA65" s="77"/>
      <c r="AB65" s="77"/>
      <c r="AC65" s="77"/>
      <c r="AD65" s="77"/>
      <c r="AE65" s="77"/>
    </row>
    <row r="66" spans="1:31">
      <c r="A66" s="77"/>
      <c r="B66" s="77"/>
      <c r="C66" s="77"/>
      <c r="D66" s="77"/>
      <c r="E66" s="77"/>
      <c r="F66" s="77"/>
      <c r="G66" s="77"/>
      <c r="H66" s="77"/>
      <c r="I66" s="77"/>
      <c r="J66" s="77"/>
      <c r="K66" s="77"/>
      <c r="L66" s="77"/>
      <c r="M66" s="77"/>
      <c r="N66" s="77"/>
      <c r="O66" s="77"/>
      <c r="P66" s="77"/>
      <c r="Q66" s="77"/>
      <c r="R66" s="77"/>
      <c r="S66" s="77"/>
      <c r="T66" s="77"/>
      <c r="U66" s="77"/>
      <c r="V66" s="77"/>
      <c r="W66" s="77"/>
      <c r="X66" s="77"/>
      <c r="Y66" s="77"/>
      <c r="Z66" s="77"/>
      <c r="AA66" s="77"/>
      <c r="AB66" s="77"/>
      <c r="AC66" s="77"/>
      <c r="AD66" s="77"/>
      <c r="AE66" s="77"/>
    </row>
    <row r="67" spans="1:31">
      <c r="A67" s="77"/>
      <c r="B67" s="77"/>
      <c r="C67" s="77"/>
      <c r="D67" s="77"/>
      <c r="E67" s="77"/>
      <c r="F67" s="77"/>
      <c r="G67" s="77"/>
      <c r="H67" s="77"/>
      <c r="I67" s="77"/>
      <c r="J67" s="77"/>
      <c r="K67" s="77"/>
      <c r="L67" s="77"/>
      <c r="M67" s="77"/>
      <c r="N67" s="77"/>
      <c r="O67" s="77"/>
      <c r="P67" s="77"/>
      <c r="Q67" s="77"/>
      <c r="R67" s="77"/>
      <c r="S67" s="77"/>
      <c r="T67" s="77"/>
      <c r="U67" s="77"/>
      <c r="V67" s="77"/>
      <c r="W67" s="77"/>
      <c r="X67" s="77"/>
      <c r="Y67" s="77"/>
      <c r="Z67" s="77"/>
      <c r="AA67" s="77"/>
      <c r="AB67" s="77"/>
      <c r="AC67" s="77"/>
      <c r="AD67" s="77"/>
      <c r="AE67" s="77"/>
    </row>
    <row r="68" spans="1:31">
      <c r="A68" s="77"/>
      <c r="B68" s="77"/>
      <c r="C68" s="77"/>
      <c r="D68" s="77"/>
      <c r="E68" s="77"/>
      <c r="F68" s="77"/>
      <c r="G68" s="77"/>
      <c r="H68" s="77"/>
      <c r="I68" s="77"/>
      <c r="J68" s="77"/>
      <c r="K68" s="77"/>
      <c r="L68" s="77"/>
      <c r="M68" s="77"/>
      <c r="N68" s="77"/>
      <c r="O68" s="77"/>
      <c r="P68" s="77"/>
      <c r="Q68" s="77"/>
      <c r="R68" s="77"/>
      <c r="S68" s="77"/>
      <c r="T68" s="77"/>
      <c r="U68" s="77"/>
      <c r="V68" s="77"/>
      <c r="W68" s="77"/>
      <c r="X68" s="77"/>
      <c r="Y68" s="77"/>
      <c r="Z68" s="77"/>
      <c r="AA68" s="77"/>
      <c r="AB68" s="77"/>
      <c r="AC68" s="77"/>
      <c r="AD68" s="77"/>
      <c r="AE68" s="77"/>
    </row>
    <row r="69" spans="1:31">
      <c r="A69" s="77"/>
      <c r="B69" s="77"/>
      <c r="C69" s="77"/>
      <c r="D69" s="77"/>
      <c r="E69" s="77"/>
      <c r="F69" s="77"/>
      <c r="G69" s="77"/>
      <c r="H69" s="77"/>
      <c r="I69" s="77"/>
      <c r="J69" s="77"/>
      <c r="K69" s="77"/>
      <c r="L69" s="77"/>
      <c r="M69" s="77"/>
      <c r="N69" s="77"/>
      <c r="O69" s="77"/>
      <c r="P69" s="77"/>
      <c r="Q69" s="77"/>
      <c r="R69" s="77"/>
      <c r="S69" s="77"/>
      <c r="T69" s="77"/>
      <c r="U69" s="77"/>
      <c r="V69" s="77"/>
      <c r="W69" s="77"/>
      <c r="X69" s="77"/>
      <c r="Y69" s="77"/>
      <c r="Z69" s="77"/>
      <c r="AA69" s="77"/>
      <c r="AB69" s="77"/>
      <c r="AC69" s="77"/>
      <c r="AD69" s="77"/>
      <c r="AE69" s="77"/>
    </row>
    <row r="70" spans="1:31">
      <c r="A70" s="77"/>
      <c r="B70" s="77"/>
      <c r="C70" s="77"/>
      <c r="D70" s="77"/>
      <c r="E70" s="77"/>
      <c r="F70" s="77"/>
      <c r="G70" s="77"/>
      <c r="H70" s="77"/>
      <c r="I70" s="77"/>
      <c r="J70" s="77"/>
      <c r="K70" s="77"/>
      <c r="L70" s="77"/>
      <c r="M70" s="77"/>
      <c r="N70" s="77"/>
      <c r="O70" s="77"/>
      <c r="P70" s="77"/>
      <c r="Q70" s="77"/>
      <c r="R70" s="77"/>
      <c r="S70" s="77"/>
      <c r="T70" s="77"/>
      <c r="U70" s="77"/>
      <c r="V70" s="77"/>
      <c r="W70" s="77"/>
      <c r="X70" s="77"/>
      <c r="Y70" s="77"/>
      <c r="Z70" s="77"/>
      <c r="AA70" s="77"/>
      <c r="AB70" s="77"/>
      <c r="AC70" s="77"/>
      <c r="AD70" s="77"/>
      <c r="AE70" s="77"/>
    </row>
    <row r="71" spans="1:31">
      <c r="A71" s="77"/>
      <c r="B71" s="77"/>
      <c r="C71" s="77"/>
      <c r="D71" s="77"/>
      <c r="E71" s="77"/>
      <c r="F71" s="77"/>
      <c r="G71" s="77"/>
      <c r="H71" s="77"/>
      <c r="I71" s="77"/>
      <c r="J71" s="77"/>
      <c r="K71" s="77"/>
      <c r="L71" s="77"/>
      <c r="M71" s="77"/>
      <c r="N71" s="77"/>
      <c r="O71" s="77"/>
      <c r="P71" s="77"/>
      <c r="Q71" s="77"/>
      <c r="R71" s="77"/>
      <c r="S71" s="77"/>
      <c r="T71" s="77"/>
      <c r="U71" s="77"/>
      <c r="V71" s="77"/>
      <c r="W71" s="77"/>
      <c r="X71" s="77"/>
      <c r="Y71" s="77"/>
      <c r="Z71" s="77"/>
      <c r="AA71" s="77"/>
      <c r="AB71" s="77"/>
      <c r="AC71" s="77"/>
      <c r="AD71" s="77"/>
      <c r="AE71" s="77"/>
    </row>
    <row r="72" spans="1:31">
      <c r="A72" s="77"/>
      <c r="B72" s="77"/>
      <c r="C72" s="77"/>
      <c r="D72" s="77"/>
      <c r="E72" s="77"/>
      <c r="F72" s="77"/>
      <c r="G72" s="77"/>
      <c r="H72" s="77"/>
      <c r="I72" s="77"/>
      <c r="J72" s="77"/>
      <c r="K72" s="77"/>
      <c r="L72" s="77"/>
      <c r="M72" s="77"/>
      <c r="N72" s="77"/>
      <c r="O72" s="77"/>
      <c r="P72" s="77"/>
      <c r="Q72" s="77"/>
      <c r="R72" s="77"/>
      <c r="S72" s="77"/>
      <c r="T72" s="77"/>
      <c r="U72" s="77"/>
      <c r="V72" s="77"/>
      <c r="W72" s="77"/>
      <c r="X72" s="77"/>
      <c r="Y72" s="77"/>
      <c r="Z72" s="77"/>
      <c r="AA72" s="77"/>
      <c r="AB72" s="77"/>
      <c r="AC72" s="77"/>
      <c r="AD72" s="77"/>
      <c r="AE72" s="77"/>
    </row>
    <row r="73" spans="1:31">
      <c r="A73" s="77"/>
      <c r="B73" s="77"/>
      <c r="C73" s="77"/>
      <c r="D73" s="77"/>
      <c r="E73" s="77"/>
      <c r="F73" s="77"/>
      <c r="G73" s="77"/>
      <c r="H73" s="77"/>
      <c r="I73" s="77"/>
      <c r="J73" s="77"/>
      <c r="K73" s="77"/>
      <c r="L73" s="77"/>
      <c r="M73" s="77"/>
      <c r="N73" s="77"/>
      <c r="O73" s="77"/>
      <c r="P73" s="77"/>
      <c r="Q73" s="77"/>
      <c r="R73" s="77"/>
      <c r="S73" s="77"/>
      <c r="T73" s="77"/>
      <c r="U73" s="77"/>
      <c r="V73" s="77"/>
      <c r="W73" s="77"/>
      <c r="X73" s="77"/>
      <c r="Y73" s="77"/>
      <c r="Z73" s="77"/>
      <c r="AA73" s="77"/>
      <c r="AB73" s="77"/>
      <c r="AC73" s="77"/>
      <c r="AD73" s="77"/>
      <c r="AE73" s="77"/>
    </row>
    <row r="74" spans="1:31">
      <c r="A74" s="77"/>
      <c r="B74" s="77"/>
      <c r="C74" s="77"/>
      <c r="D74" s="77"/>
      <c r="E74" s="77"/>
      <c r="F74" s="77"/>
      <c r="G74" s="77"/>
      <c r="H74" s="77"/>
      <c r="I74" s="77"/>
      <c r="J74" s="77"/>
      <c r="K74" s="77"/>
      <c r="L74" s="77"/>
      <c r="M74" s="77"/>
      <c r="N74" s="77"/>
      <c r="O74" s="77"/>
      <c r="P74" s="77"/>
      <c r="Q74" s="77"/>
      <c r="R74" s="77"/>
      <c r="S74" s="77"/>
      <c r="T74" s="77"/>
      <c r="U74" s="77"/>
      <c r="V74" s="77"/>
      <c r="W74" s="77"/>
      <c r="X74" s="77"/>
      <c r="Y74" s="77"/>
      <c r="Z74" s="77"/>
      <c r="AA74" s="77"/>
      <c r="AB74" s="77"/>
      <c r="AC74" s="77"/>
      <c r="AD74" s="77"/>
      <c r="AE74" s="77"/>
    </row>
    <row r="75" spans="1:3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c r="A76" s="77"/>
      <c r="B76" s="77"/>
      <c r="C76" s="77"/>
      <c r="D76" s="77"/>
      <c r="E76" s="77"/>
      <c r="F76" s="77"/>
      <c r="G76" s="77"/>
      <c r="H76" s="77"/>
      <c r="I76" s="77"/>
      <c r="J76" s="77"/>
      <c r="K76" s="77"/>
      <c r="L76" s="77"/>
      <c r="M76" s="77"/>
      <c r="N76" s="77"/>
      <c r="O76" s="77"/>
      <c r="P76" s="77"/>
      <c r="Q76" s="77"/>
      <c r="R76" s="77"/>
      <c r="S76" s="77"/>
      <c r="T76" s="77"/>
      <c r="U76" s="77"/>
      <c r="V76" s="77"/>
      <c r="W76" s="77"/>
      <c r="X76" s="77"/>
      <c r="Y76" s="77"/>
      <c r="Z76" s="77"/>
      <c r="AA76" s="77"/>
      <c r="AB76" s="77"/>
      <c r="AC76" s="77"/>
      <c r="AD76" s="77"/>
      <c r="AE76" s="77"/>
    </row>
    <row r="77" spans="1:31">
      <c r="A77" s="77"/>
      <c r="B77" s="77"/>
      <c r="C77" s="77"/>
      <c r="D77" s="77"/>
      <c r="E77" s="77"/>
      <c r="F77" s="77"/>
      <c r="G77" s="77"/>
      <c r="H77" s="77"/>
      <c r="I77" s="77"/>
      <c r="J77" s="77"/>
      <c r="K77" s="77"/>
      <c r="L77" s="77"/>
      <c r="M77" s="77"/>
      <c r="N77" s="77"/>
      <c r="O77" s="77"/>
      <c r="P77" s="77"/>
      <c r="Q77" s="77"/>
      <c r="R77" s="77"/>
      <c r="S77" s="77"/>
      <c r="T77" s="77"/>
      <c r="U77" s="77"/>
      <c r="V77" s="77"/>
      <c r="W77" s="77"/>
      <c r="X77" s="77"/>
      <c r="Y77" s="77"/>
      <c r="Z77" s="77"/>
      <c r="AA77" s="77"/>
      <c r="AB77" s="77"/>
      <c r="AC77" s="77"/>
      <c r="AD77" s="77"/>
      <c r="AE77" s="77"/>
    </row>
    <row r="78" spans="1:31">
      <c r="A78" s="77"/>
      <c r="B78" s="77"/>
      <c r="C78" s="77"/>
      <c r="D78" s="77"/>
      <c r="E78" s="77"/>
      <c r="F78" s="77"/>
      <c r="G78" s="77"/>
      <c r="H78" s="77"/>
      <c r="I78" s="77"/>
      <c r="J78" s="77"/>
      <c r="K78" s="77"/>
      <c r="L78" s="77"/>
      <c r="M78" s="77"/>
      <c r="N78" s="77"/>
      <c r="O78" s="77"/>
      <c r="P78" s="77"/>
      <c r="Q78" s="77"/>
      <c r="R78" s="77"/>
      <c r="S78" s="77"/>
      <c r="T78" s="77"/>
      <c r="U78" s="77"/>
      <c r="V78" s="77"/>
      <c r="W78" s="77"/>
      <c r="X78" s="77"/>
      <c r="Y78" s="77"/>
      <c r="Z78" s="77"/>
      <c r="AA78" s="77"/>
      <c r="AB78" s="77"/>
      <c r="AC78" s="77"/>
      <c r="AD78" s="77"/>
      <c r="AE78" s="77"/>
    </row>
    <row r="79" spans="1:31">
      <c r="A79" s="77"/>
      <c r="B79" s="77"/>
      <c r="C79" s="77"/>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row>
    <row r="80" spans="1:31">
      <c r="A80" s="77"/>
      <c r="B80" s="77"/>
      <c r="C80" s="77"/>
      <c r="D80" s="77"/>
      <c r="E80" s="77"/>
      <c r="F80" s="77"/>
      <c r="G80" s="77"/>
      <c r="H80" s="77"/>
      <c r="I80" s="77"/>
      <c r="J80" s="77"/>
      <c r="K80" s="77"/>
      <c r="L80" s="77"/>
      <c r="M80" s="77"/>
      <c r="N80" s="77"/>
      <c r="O80" s="77"/>
      <c r="P80" s="77"/>
      <c r="Q80" s="77"/>
      <c r="R80" s="77"/>
      <c r="S80" s="77"/>
      <c r="T80" s="77"/>
      <c r="U80" s="77"/>
      <c r="V80" s="77"/>
      <c r="W80" s="77"/>
      <c r="X80" s="77"/>
      <c r="Y80" s="77"/>
      <c r="Z80" s="77"/>
      <c r="AA80" s="77"/>
      <c r="AB80" s="77"/>
      <c r="AC80" s="77"/>
      <c r="AD80" s="77"/>
      <c r="AE80" s="77"/>
    </row>
    <row r="81" spans="1:31">
      <c r="A81" s="77"/>
      <c r="B81" s="77"/>
      <c r="C81" s="77"/>
      <c r="D81" s="77"/>
      <c r="E81" s="77"/>
      <c r="F81" s="77"/>
      <c r="G81" s="77"/>
      <c r="H81" s="77"/>
      <c r="I81" s="77"/>
      <c r="J81" s="77"/>
      <c r="K81" s="77"/>
      <c r="L81" s="77"/>
      <c r="M81" s="77"/>
      <c r="N81" s="77"/>
      <c r="O81" s="77"/>
      <c r="P81" s="77"/>
      <c r="Q81" s="77"/>
      <c r="R81" s="77"/>
      <c r="S81" s="77"/>
      <c r="T81" s="77"/>
      <c r="U81" s="77"/>
      <c r="V81" s="77"/>
      <c r="W81" s="77"/>
      <c r="X81" s="77"/>
      <c r="Y81" s="77"/>
      <c r="Z81" s="77"/>
      <c r="AA81" s="77"/>
      <c r="AB81" s="77"/>
      <c r="AC81" s="77"/>
      <c r="AD81" s="77"/>
      <c r="AE81" s="77"/>
    </row>
    <row r="82" spans="1:31">
      <c r="A82" s="77"/>
      <c r="B82" s="77"/>
      <c r="C82" s="77"/>
      <c r="D82" s="77"/>
      <c r="E82" s="77"/>
      <c r="F82" s="77"/>
      <c r="G82" s="77"/>
      <c r="H82" s="77"/>
      <c r="I82" s="77"/>
      <c r="J82" s="77"/>
      <c r="K82" s="77"/>
      <c r="L82" s="77"/>
      <c r="M82" s="77"/>
      <c r="N82" s="77"/>
      <c r="O82" s="77"/>
      <c r="P82" s="77"/>
      <c r="Q82" s="77"/>
      <c r="R82" s="77"/>
      <c r="S82" s="77"/>
      <c r="T82" s="77"/>
      <c r="U82" s="77"/>
      <c r="V82" s="77"/>
      <c r="W82" s="77"/>
      <c r="X82" s="77"/>
      <c r="Y82" s="77"/>
      <c r="Z82" s="77"/>
      <c r="AA82" s="77"/>
      <c r="AB82" s="77"/>
      <c r="AC82" s="77"/>
      <c r="AD82" s="77"/>
      <c r="AE82" s="77"/>
    </row>
    <row r="83" spans="1:31">
      <c r="A83" s="77"/>
      <c r="B83" s="77"/>
      <c r="C83" s="77"/>
      <c r="D83" s="77"/>
      <c r="E83" s="77"/>
      <c r="F83" s="77"/>
      <c r="G83" s="77"/>
      <c r="H83" s="77"/>
      <c r="I83" s="77"/>
      <c r="J83" s="77"/>
      <c r="K83" s="77"/>
      <c r="L83" s="77"/>
      <c r="M83" s="77"/>
      <c r="N83" s="77"/>
      <c r="O83" s="77"/>
      <c r="P83" s="77"/>
      <c r="Q83" s="77"/>
      <c r="R83" s="77"/>
      <c r="S83" s="77"/>
      <c r="T83" s="77"/>
      <c r="U83" s="77"/>
      <c r="V83" s="77"/>
      <c r="W83" s="77"/>
      <c r="X83" s="77"/>
      <c r="Y83" s="77"/>
      <c r="Z83" s="77"/>
      <c r="AA83" s="77"/>
      <c r="AB83" s="77"/>
      <c r="AC83" s="77"/>
      <c r="AD83" s="77"/>
      <c r="AE83" s="77"/>
    </row>
    <row r="84" spans="1:31">
      <c r="A84" s="77"/>
      <c r="B84" s="77"/>
      <c r="C84" s="77"/>
      <c r="D84" s="77"/>
      <c r="E84" s="77"/>
      <c r="F84" s="77"/>
      <c r="G84" s="77"/>
      <c r="H84" s="77"/>
      <c r="I84" s="77"/>
      <c r="J84" s="77"/>
      <c r="K84" s="77"/>
      <c r="L84" s="77"/>
      <c r="M84" s="77"/>
      <c r="N84" s="77"/>
      <c r="O84" s="77"/>
      <c r="P84" s="77"/>
      <c r="Q84" s="77"/>
      <c r="R84" s="77"/>
      <c r="S84" s="77"/>
      <c r="T84" s="77"/>
      <c r="U84" s="77"/>
      <c r="V84" s="77"/>
      <c r="W84" s="77"/>
      <c r="X84" s="77"/>
      <c r="Y84" s="77"/>
      <c r="Z84" s="77"/>
      <c r="AA84" s="77"/>
      <c r="AB84" s="77"/>
      <c r="AC84" s="77"/>
      <c r="AD84" s="77"/>
      <c r="AE84" s="77"/>
    </row>
    <row r="85" spans="1:31">
      <c r="A85" s="77"/>
      <c r="B85" s="77"/>
      <c r="C85" s="77"/>
      <c r="D85" s="77"/>
      <c r="E85" s="77"/>
      <c r="F85" s="77"/>
      <c r="G85" s="77"/>
      <c r="H85" s="77"/>
      <c r="I85" s="77"/>
      <c r="J85" s="77"/>
      <c r="K85" s="77"/>
      <c r="L85" s="77"/>
      <c r="M85" s="77"/>
      <c r="N85" s="77"/>
      <c r="O85" s="77"/>
      <c r="P85" s="77"/>
      <c r="Q85" s="77"/>
      <c r="R85" s="77"/>
      <c r="S85" s="77"/>
      <c r="T85" s="77"/>
      <c r="U85" s="77"/>
      <c r="V85" s="77"/>
      <c r="W85" s="77"/>
      <c r="X85" s="77"/>
      <c r="Y85" s="77"/>
      <c r="Z85" s="77"/>
      <c r="AA85" s="77"/>
      <c r="AB85" s="77"/>
      <c r="AC85" s="77"/>
      <c r="AD85" s="77"/>
      <c r="AE85" s="77"/>
    </row>
    <row r="86" spans="1:31">
      <c r="A86" s="77"/>
      <c r="B86" s="77"/>
      <c r="C86" s="77"/>
      <c r="D86" s="77"/>
      <c r="E86" s="77"/>
      <c r="F86" s="77"/>
      <c r="G86" s="77"/>
      <c r="H86" s="77"/>
      <c r="I86" s="77"/>
      <c r="J86" s="77"/>
      <c r="K86" s="77"/>
      <c r="L86" s="77"/>
      <c r="M86" s="77"/>
      <c r="N86" s="77"/>
      <c r="O86" s="77"/>
      <c r="P86" s="77"/>
      <c r="Q86" s="77"/>
      <c r="R86" s="77"/>
      <c r="S86" s="77"/>
      <c r="T86" s="77"/>
      <c r="U86" s="77"/>
      <c r="V86" s="77"/>
      <c r="W86" s="77"/>
      <c r="X86" s="77"/>
      <c r="Y86" s="77"/>
      <c r="Z86" s="77"/>
      <c r="AA86" s="77"/>
      <c r="AB86" s="77"/>
      <c r="AC86" s="77"/>
      <c r="AD86" s="77"/>
      <c r="AE86" s="77"/>
    </row>
    <row r="87" spans="1:31">
      <c r="A87" s="77"/>
      <c r="B87" s="77"/>
      <c r="C87" s="77"/>
      <c r="D87" s="77"/>
      <c r="E87" s="77"/>
      <c r="F87" s="77"/>
      <c r="G87" s="77"/>
      <c r="H87" s="77"/>
      <c r="I87" s="77"/>
      <c r="J87" s="77"/>
      <c r="K87" s="77"/>
      <c r="L87" s="77"/>
      <c r="M87" s="77"/>
      <c r="N87" s="77"/>
      <c r="O87" s="77"/>
      <c r="P87" s="77"/>
      <c r="Q87" s="77"/>
      <c r="R87" s="77"/>
      <c r="S87" s="77"/>
      <c r="T87" s="77"/>
      <c r="U87" s="77"/>
      <c r="V87" s="77"/>
      <c r="W87" s="77"/>
      <c r="X87" s="77"/>
      <c r="Y87" s="77"/>
      <c r="Z87" s="77"/>
      <c r="AA87" s="77"/>
      <c r="AB87" s="77"/>
      <c r="AC87" s="77"/>
      <c r="AD87" s="77"/>
      <c r="AE87" s="77"/>
    </row>
    <row r="88" spans="1:31">
      <c r="A88" s="77"/>
      <c r="B88" s="77"/>
      <c r="C88" s="77"/>
      <c r="D88" s="77"/>
      <c r="E88" s="77"/>
      <c r="F88" s="77"/>
      <c r="G88" s="77"/>
      <c r="H88" s="77"/>
      <c r="I88" s="77"/>
      <c r="J88" s="77"/>
      <c r="K88" s="77"/>
      <c r="L88" s="77"/>
      <c r="M88" s="77"/>
      <c r="N88" s="77"/>
      <c r="O88" s="77"/>
      <c r="P88" s="77"/>
      <c r="Q88" s="77"/>
      <c r="R88" s="77"/>
      <c r="S88" s="77"/>
      <c r="T88" s="77"/>
      <c r="U88" s="77"/>
      <c r="V88" s="77"/>
      <c r="W88" s="77"/>
      <c r="X88" s="77"/>
      <c r="Y88" s="77"/>
      <c r="Z88" s="77"/>
      <c r="AA88" s="77"/>
      <c r="AB88" s="77"/>
      <c r="AC88" s="77"/>
      <c r="AD88" s="77"/>
      <c r="AE88" s="77"/>
    </row>
    <row r="89" spans="1:31">
      <c r="A89" s="77"/>
      <c r="B89" s="77"/>
      <c r="C89" s="77"/>
      <c r="D89" s="77"/>
      <c r="E89" s="77"/>
      <c r="F89" s="77"/>
      <c r="G89" s="77"/>
      <c r="H89" s="77"/>
      <c r="I89" s="77"/>
      <c r="J89" s="77"/>
      <c r="K89" s="77"/>
      <c r="L89" s="77"/>
      <c r="M89" s="77"/>
      <c r="N89" s="77"/>
      <c r="O89" s="77"/>
      <c r="P89" s="77"/>
      <c r="Q89" s="77"/>
      <c r="R89" s="77"/>
      <c r="S89" s="77"/>
      <c r="T89" s="77"/>
      <c r="U89" s="77"/>
      <c r="V89" s="77"/>
      <c r="W89" s="77"/>
      <c r="X89" s="77"/>
      <c r="Y89" s="77"/>
      <c r="Z89" s="77"/>
      <c r="AA89" s="77"/>
      <c r="AB89" s="77"/>
      <c r="AC89" s="77"/>
      <c r="AD89" s="77"/>
      <c r="AE89" s="77"/>
    </row>
    <row r="90" spans="1:31">
      <c r="A90" s="77"/>
      <c r="B90" s="77"/>
      <c r="C90" s="77"/>
      <c r="D90" s="77"/>
      <c r="E90" s="77"/>
      <c r="F90" s="77"/>
      <c r="G90" s="77"/>
      <c r="H90" s="77"/>
      <c r="I90" s="77"/>
      <c r="J90" s="77"/>
      <c r="K90" s="77"/>
      <c r="L90" s="77"/>
      <c r="M90" s="77"/>
      <c r="N90" s="77"/>
      <c r="O90" s="77"/>
      <c r="P90" s="77"/>
      <c r="Q90" s="77"/>
      <c r="R90" s="77"/>
      <c r="S90" s="77"/>
      <c r="T90" s="77"/>
      <c r="U90" s="77"/>
      <c r="V90" s="77"/>
      <c r="W90" s="77"/>
      <c r="X90" s="77"/>
      <c r="Y90" s="77"/>
      <c r="Z90" s="77"/>
      <c r="AA90" s="77"/>
      <c r="AB90" s="77"/>
      <c r="AC90" s="77"/>
      <c r="AD90" s="77"/>
      <c r="AE90" s="77"/>
    </row>
    <row r="91" spans="1:31">
      <c r="A91" s="77"/>
      <c r="B91" s="77"/>
      <c r="C91" s="77"/>
      <c r="D91" s="77"/>
      <c r="E91" s="77"/>
      <c r="F91" s="77"/>
      <c r="G91" s="77"/>
      <c r="H91" s="77"/>
      <c r="I91" s="77"/>
      <c r="J91" s="77"/>
      <c r="K91" s="77"/>
      <c r="L91" s="77"/>
      <c r="M91" s="77"/>
      <c r="N91" s="77"/>
      <c r="O91" s="77"/>
      <c r="P91" s="77"/>
      <c r="Q91" s="77"/>
      <c r="R91" s="77"/>
      <c r="S91" s="77"/>
      <c r="T91" s="77"/>
      <c r="U91" s="77"/>
      <c r="V91" s="77"/>
      <c r="W91" s="77"/>
      <c r="X91" s="77"/>
      <c r="Y91" s="77"/>
      <c r="Z91" s="77"/>
      <c r="AA91" s="77"/>
      <c r="AB91" s="77"/>
      <c r="AC91" s="77"/>
      <c r="AD91" s="77"/>
      <c r="AE91" s="77"/>
    </row>
    <row r="92" spans="1:31">
      <c r="A92" s="77"/>
      <c r="B92" s="77"/>
      <c r="C92" s="77"/>
      <c r="D92" s="77"/>
      <c r="E92" s="77"/>
      <c r="F92" s="77"/>
      <c r="G92" s="77"/>
      <c r="H92" s="77"/>
      <c r="I92" s="77"/>
      <c r="J92" s="77"/>
      <c r="K92" s="77"/>
      <c r="L92" s="77"/>
      <c r="M92" s="77"/>
      <c r="N92" s="77"/>
      <c r="O92" s="77"/>
      <c r="P92" s="77"/>
      <c r="Q92" s="77"/>
      <c r="R92" s="77"/>
      <c r="S92" s="77"/>
      <c r="T92" s="77"/>
      <c r="U92" s="77"/>
      <c r="V92" s="77"/>
      <c r="W92" s="77"/>
      <c r="X92" s="77"/>
      <c r="Y92" s="77"/>
      <c r="Z92" s="77"/>
      <c r="AA92" s="77"/>
      <c r="AB92" s="77"/>
      <c r="AC92" s="77"/>
      <c r="AD92" s="77"/>
      <c r="AE92" s="77"/>
    </row>
    <row r="93" spans="1:3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77"/>
      <c r="B94" s="77"/>
      <c r="C94" s="77"/>
      <c r="D94" s="77"/>
      <c r="E94" s="77"/>
      <c r="F94" s="77"/>
      <c r="G94" s="77"/>
      <c r="H94" s="77"/>
      <c r="I94" s="77"/>
      <c r="J94" s="77"/>
      <c r="K94" s="77"/>
      <c r="L94" s="77"/>
      <c r="M94" s="77"/>
      <c r="N94" s="77"/>
      <c r="O94" s="77"/>
      <c r="P94" s="77"/>
      <c r="Q94" s="77"/>
      <c r="R94" s="77"/>
      <c r="S94" s="77"/>
      <c r="T94" s="77"/>
      <c r="U94" s="77"/>
      <c r="V94" s="77"/>
      <c r="W94" s="77"/>
      <c r="X94" s="77"/>
      <c r="Y94" s="77"/>
      <c r="Z94" s="77"/>
      <c r="AA94" s="77"/>
      <c r="AB94" s="77"/>
      <c r="AC94" s="77"/>
      <c r="AD94" s="77"/>
      <c r="AE94" s="77"/>
    </row>
    <row r="95" spans="1:31">
      <c r="A95" s="77"/>
      <c r="B95" s="77"/>
      <c r="C95" s="77"/>
      <c r="D95" s="77"/>
      <c r="E95" s="77"/>
      <c r="F95" s="77"/>
      <c r="G95" s="77"/>
      <c r="H95" s="77"/>
      <c r="I95" s="77"/>
      <c r="J95" s="77"/>
      <c r="K95" s="77"/>
      <c r="L95" s="77"/>
      <c r="M95" s="77"/>
      <c r="N95" s="77"/>
      <c r="O95" s="77"/>
      <c r="P95" s="77"/>
      <c r="Q95" s="77"/>
      <c r="R95" s="77"/>
      <c r="S95" s="77"/>
      <c r="T95" s="77"/>
      <c r="U95" s="77"/>
      <c r="V95" s="77"/>
      <c r="W95" s="77"/>
      <c r="X95" s="77"/>
      <c r="Y95" s="77"/>
      <c r="Z95" s="77"/>
      <c r="AA95" s="77"/>
      <c r="AB95" s="77"/>
      <c r="AC95" s="77"/>
      <c r="AD95" s="77"/>
      <c r="AE95" s="77"/>
    </row>
    <row r="96" spans="1:31">
      <c r="A96" s="77"/>
      <c r="B96" s="77"/>
      <c r="C96" s="77"/>
      <c r="D96" s="77"/>
      <c r="E96" s="77"/>
      <c r="F96" s="77"/>
      <c r="G96" s="77"/>
      <c r="H96" s="77"/>
      <c r="I96" s="77"/>
      <c r="J96" s="77"/>
      <c r="K96" s="77"/>
      <c r="L96" s="77"/>
      <c r="M96" s="77"/>
      <c r="N96" s="77"/>
      <c r="O96" s="77"/>
      <c r="P96" s="77"/>
      <c r="Q96" s="77"/>
      <c r="R96" s="77"/>
      <c r="S96" s="77"/>
      <c r="T96" s="77"/>
      <c r="U96" s="77"/>
      <c r="V96" s="77"/>
      <c r="W96" s="77"/>
      <c r="X96" s="77"/>
      <c r="Y96" s="77"/>
      <c r="Z96" s="77"/>
      <c r="AA96" s="77"/>
      <c r="AB96" s="77"/>
      <c r="AC96" s="77"/>
      <c r="AD96" s="77"/>
      <c r="AE96" s="77"/>
    </row>
    <row r="97" spans="1:31">
      <c r="A97" s="77"/>
      <c r="B97" s="77"/>
      <c r="C97" s="77"/>
      <c r="D97" s="77"/>
      <c r="E97" s="77"/>
      <c r="F97" s="77"/>
      <c r="G97" s="77"/>
      <c r="H97" s="77"/>
      <c r="I97" s="77"/>
      <c r="J97" s="77"/>
      <c r="K97" s="77"/>
      <c r="L97" s="77"/>
      <c r="M97" s="77"/>
      <c r="N97" s="77"/>
      <c r="O97" s="77"/>
      <c r="P97" s="77"/>
      <c r="Q97" s="77"/>
      <c r="R97" s="77"/>
      <c r="S97" s="77"/>
      <c r="T97" s="77"/>
      <c r="U97" s="77"/>
      <c r="V97" s="77"/>
      <c r="W97" s="77"/>
      <c r="X97" s="77"/>
      <c r="Y97" s="77"/>
      <c r="Z97" s="77"/>
      <c r="AA97" s="77"/>
      <c r="AB97" s="77"/>
      <c r="AC97" s="77"/>
      <c r="AD97" s="77"/>
      <c r="AE97" s="77"/>
    </row>
    <row r="98" spans="1:31">
      <c r="A98" s="77"/>
      <c r="B98" s="77"/>
      <c r="C98" s="77"/>
      <c r="D98" s="77"/>
      <c r="E98" s="77"/>
      <c r="F98" s="77"/>
      <c r="G98" s="77"/>
      <c r="H98" s="77"/>
      <c r="I98" s="77"/>
      <c r="J98" s="77"/>
      <c r="K98" s="77"/>
      <c r="L98" s="77"/>
      <c r="M98" s="77"/>
      <c r="N98" s="77"/>
      <c r="O98" s="77"/>
      <c r="P98" s="77"/>
      <c r="Q98" s="77"/>
      <c r="R98" s="77"/>
      <c r="S98" s="77"/>
      <c r="T98" s="77"/>
      <c r="U98" s="77"/>
      <c r="V98" s="77"/>
      <c r="W98" s="77"/>
      <c r="X98" s="77"/>
      <c r="Y98" s="77"/>
      <c r="Z98" s="77"/>
      <c r="AA98" s="77"/>
      <c r="AB98" s="77"/>
      <c r="AC98" s="77"/>
      <c r="AD98" s="77"/>
      <c r="AE98" s="77"/>
    </row>
    <row r="99" spans="1:31">
      <c r="A99" s="77"/>
      <c r="B99" s="77"/>
      <c r="C99" s="77"/>
      <c r="D99" s="77"/>
      <c r="E99" s="77"/>
      <c r="F99" s="77"/>
      <c r="G99" s="77"/>
      <c r="H99" s="77"/>
      <c r="I99" s="77"/>
      <c r="J99" s="77"/>
      <c r="K99" s="77"/>
      <c r="L99" s="77"/>
      <c r="M99" s="77"/>
      <c r="N99" s="77"/>
      <c r="O99" s="77"/>
      <c r="P99" s="77"/>
      <c r="Q99" s="77"/>
      <c r="R99" s="77"/>
      <c r="S99" s="77"/>
      <c r="T99" s="77"/>
      <c r="U99" s="77"/>
      <c r="V99" s="77"/>
      <c r="W99" s="77"/>
      <c r="X99" s="77"/>
      <c r="Y99" s="77"/>
      <c r="Z99" s="77"/>
      <c r="AA99" s="77"/>
      <c r="AB99" s="77"/>
      <c r="AC99" s="77"/>
      <c r="AD99" s="77"/>
      <c r="AE99" s="77"/>
    </row>
    <row r="100" spans="1:31">
      <c r="A100" s="77"/>
      <c r="B100" s="77"/>
      <c r="C100" s="77"/>
      <c r="D100" s="77"/>
      <c r="E100" s="77"/>
      <c r="F100" s="77"/>
      <c r="G100" s="77"/>
      <c r="H100" s="77"/>
      <c r="I100" s="77"/>
      <c r="J100" s="77"/>
      <c r="K100" s="77"/>
      <c r="L100" s="77"/>
      <c r="M100" s="77"/>
      <c r="N100" s="77"/>
      <c r="O100" s="77"/>
      <c r="P100" s="77"/>
      <c r="Q100" s="77"/>
      <c r="R100" s="77"/>
      <c r="S100" s="77"/>
      <c r="T100" s="77"/>
      <c r="U100" s="77"/>
      <c r="V100" s="77"/>
      <c r="W100" s="77"/>
      <c r="X100" s="77"/>
      <c r="Y100" s="77"/>
      <c r="Z100" s="77"/>
      <c r="AA100" s="77"/>
      <c r="AB100" s="77"/>
      <c r="AC100" s="77"/>
      <c r="AD100" s="77"/>
      <c r="AE100" s="77"/>
    </row>
    <row r="101" spans="1:31">
      <c r="A101" s="77"/>
      <c r="B101" s="77"/>
      <c r="C101" s="77"/>
      <c r="D101" s="77"/>
      <c r="E101" s="77"/>
      <c r="F101" s="77"/>
      <c r="G101" s="77"/>
      <c r="H101" s="77"/>
      <c r="I101" s="77"/>
      <c r="J101" s="77"/>
      <c r="K101" s="77"/>
      <c r="L101" s="77"/>
      <c r="M101" s="77"/>
      <c r="N101" s="77"/>
      <c r="O101" s="77"/>
      <c r="P101" s="77"/>
      <c r="Q101" s="77"/>
      <c r="R101" s="77"/>
      <c r="S101" s="77"/>
      <c r="T101" s="77"/>
      <c r="U101" s="77"/>
      <c r="V101" s="77"/>
      <c r="W101" s="77"/>
      <c r="X101" s="77"/>
      <c r="Y101" s="77"/>
      <c r="Z101" s="77"/>
      <c r="AA101" s="77"/>
      <c r="AB101" s="77"/>
      <c r="AC101" s="77"/>
      <c r="AD101" s="77"/>
      <c r="AE101" s="77"/>
    </row>
    <row r="102" spans="1:31">
      <c r="A102" s="77"/>
      <c r="B102" s="77"/>
      <c r="C102" s="77"/>
      <c r="D102" s="77"/>
      <c r="E102" s="77"/>
      <c r="F102" s="77"/>
      <c r="G102" s="77"/>
      <c r="H102" s="77"/>
      <c r="I102" s="77"/>
      <c r="J102" s="77"/>
      <c r="K102" s="77"/>
      <c r="L102" s="77"/>
      <c r="M102" s="77"/>
      <c r="N102" s="77"/>
      <c r="O102" s="77"/>
      <c r="P102" s="77"/>
      <c r="Q102" s="77"/>
      <c r="R102" s="77"/>
      <c r="S102" s="77"/>
      <c r="T102" s="77"/>
      <c r="U102" s="77"/>
      <c r="V102" s="77"/>
      <c r="W102" s="77"/>
      <c r="X102" s="77"/>
      <c r="Y102" s="77"/>
      <c r="Z102" s="77"/>
      <c r="AA102" s="77"/>
      <c r="AB102" s="77"/>
      <c r="AC102" s="77"/>
      <c r="AD102" s="77"/>
      <c r="AE102" s="77"/>
    </row>
    <row r="103" spans="1:31">
      <c r="A103" s="77"/>
      <c r="B103" s="77"/>
      <c r="C103" s="77"/>
      <c r="D103" s="77"/>
      <c r="E103" s="77"/>
      <c r="F103" s="77"/>
      <c r="G103" s="77"/>
      <c r="H103" s="77"/>
      <c r="I103" s="77"/>
      <c r="J103" s="77"/>
      <c r="K103" s="77"/>
      <c r="L103" s="77"/>
      <c r="M103" s="77"/>
      <c r="N103" s="77"/>
      <c r="O103" s="77"/>
      <c r="P103" s="77"/>
      <c r="Q103" s="77"/>
      <c r="R103" s="77"/>
      <c r="S103" s="77"/>
      <c r="T103" s="77"/>
      <c r="U103" s="77"/>
      <c r="V103" s="77"/>
      <c r="W103" s="77"/>
      <c r="X103" s="77"/>
      <c r="Y103" s="77"/>
      <c r="Z103" s="77"/>
      <c r="AA103" s="77"/>
      <c r="AB103" s="77"/>
      <c r="AC103" s="77"/>
      <c r="AD103" s="77"/>
      <c r="AE103" s="77"/>
    </row>
    <row r="104" spans="1:31">
      <c r="A104" s="77"/>
      <c r="B104" s="77"/>
      <c r="C104" s="77"/>
      <c r="D104" s="77"/>
      <c r="E104" s="77"/>
      <c r="F104" s="77"/>
      <c r="G104" s="77"/>
      <c r="H104" s="77"/>
      <c r="I104" s="77"/>
      <c r="J104" s="77"/>
      <c r="K104" s="77"/>
      <c r="L104" s="77"/>
      <c r="M104" s="77"/>
      <c r="N104" s="77"/>
      <c r="O104" s="77"/>
      <c r="P104" s="77"/>
      <c r="Q104" s="77"/>
      <c r="R104" s="77"/>
      <c r="S104" s="77"/>
      <c r="T104" s="77"/>
      <c r="U104" s="77"/>
      <c r="V104" s="77"/>
      <c r="W104" s="77"/>
      <c r="X104" s="77"/>
      <c r="Y104" s="77"/>
      <c r="Z104" s="77"/>
      <c r="AA104" s="77"/>
      <c r="AB104" s="77"/>
      <c r="AC104" s="77"/>
      <c r="AD104" s="77"/>
      <c r="AE104" s="77"/>
    </row>
    <row r="105" spans="1:31">
      <c r="A105" s="77"/>
      <c r="B105" s="77"/>
      <c r="C105" s="77"/>
      <c r="D105" s="77"/>
      <c r="E105" s="77"/>
      <c r="F105" s="77"/>
      <c r="G105" s="77"/>
      <c r="H105" s="77"/>
      <c r="I105" s="77"/>
      <c r="J105" s="77"/>
      <c r="K105" s="77"/>
      <c r="L105" s="77"/>
      <c r="M105" s="77"/>
      <c r="N105" s="77"/>
      <c r="O105" s="77"/>
      <c r="P105" s="77"/>
      <c r="Q105" s="77"/>
      <c r="R105" s="77"/>
      <c r="S105" s="77"/>
      <c r="T105" s="77"/>
      <c r="U105" s="77"/>
      <c r="V105" s="77"/>
      <c r="W105" s="77"/>
      <c r="X105" s="77"/>
      <c r="Y105" s="77"/>
      <c r="Z105" s="77"/>
      <c r="AA105" s="77"/>
      <c r="AB105" s="77"/>
      <c r="AC105" s="77"/>
      <c r="AD105" s="77"/>
      <c r="AE105" s="77"/>
    </row>
    <row r="106" spans="1:31">
      <c r="A106" s="77"/>
      <c r="B106" s="77"/>
      <c r="C106" s="77"/>
      <c r="D106" s="77"/>
      <c r="E106" s="77"/>
      <c r="F106" s="77"/>
      <c r="G106" s="77"/>
      <c r="H106" s="77"/>
      <c r="I106" s="77"/>
      <c r="J106" s="77"/>
      <c r="K106" s="77"/>
      <c r="L106" s="77"/>
      <c r="M106" s="77"/>
      <c r="N106" s="77"/>
      <c r="O106" s="77"/>
      <c r="P106" s="77"/>
      <c r="Q106" s="77"/>
      <c r="R106" s="77"/>
      <c r="S106" s="77"/>
      <c r="T106" s="77"/>
      <c r="U106" s="77"/>
      <c r="V106" s="77"/>
      <c r="W106" s="77"/>
      <c r="X106" s="77"/>
      <c r="Y106" s="77"/>
      <c r="Z106" s="77"/>
      <c r="AA106" s="77"/>
      <c r="AB106" s="77"/>
      <c r="AC106" s="77"/>
      <c r="AD106" s="77"/>
      <c r="AE106" s="77"/>
    </row>
    <row r="107" spans="1:31">
      <c r="A107" s="77"/>
      <c r="B107" s="77"/>
      <c r="C107" s="77"/>
      <c r="D107" s="77"/>
      <c r="E107" s="77"/>
      <c r="F107" s="77"/>
      <c r="G107" s="77"/>
      <c r="H107" s="77"/>
      <c r="I107" s="77"/>
      <c r="J107" s="77"/>
      <c r="K107" s="77"/>
      <c r="L107" s="77"/>
      <c r="M107" s="77"/>
      <c r="N107" s="77"/>
      <c r="O107" s="77"/>
      <c r="P107" s="77"/>
      <c r="Q107" s="77"/>
      <c r="R107" s="77"/>
      <c r="S107" s="77"/>
      <c r="T107" s="77"/>
      <c r="U107" s="77"/>
      <c r="V107" s="77"/>
      <c r="W107" s="77"/>
      <c r="X107" s="77"/>
      <c r="Y107" s="77"/>
      <c r="Z107" s="77"/>
      <c r="AA107" s="77"/>
      <c r="AB107" s="77"/>
      <c r="AC107" s="77"/>
      <c r="AD107" s="77"/>
      <c r="AE107" s="77"/>
    </row>
    <row r="108" spans="1:31">
      <c r="A108" s="77"/>
      <c r="B108" s="77"/>
      <c r="C108" s="77"/>
      <c r="D108" s="77"/>
      <c r="E108" s="77"/>
      <c r="F108" s="77"/>
      <c r="G108" s="77"/>
      <c r="H108" s="77"/>
      <c r="I108" s="77"/>
      <c r="J108" s="77"/>
      <c r="K108" s="77"/>
      <c r="L108" s="77"/>
      <c r="M108" s="77"/>
      <c r="N108" s="77"/>
      <c r="O108" s="77"/>
      <c r="P108" s="77"/>
      <c r="Q108" s="77"/>
      <c r="R108" s="77"/>
      <c r="S108" s="77"/>
      <c r="T108" s="77"/>
      <c r="U108" s="77"/>
      <c r="V108" s="77"/>
      <c r="W108" s="77"/>
      <c r="X108" s="77"/>
      <c r="Y108" s="77"/>
      <c r="Z108" s="77"/>
      <c r="AA108" s="77"/>
      <c r="AB108" s="77"/>
      <c r="AC108" s="77"/>
      <c r="AD108" s="77"/>
      <c r="AE108" s="77"/>
    </row>
    <row r="109" spans="1:31">
      <c r="A109" s="77"/>
      <c r="B109" s="77"/>
      <c r="C109" s="77"/>
      <c r="D109" s="77"/>
      <c r="E109" s="77"/>
      <c r="F109" s="77"/>
      <c r="G109" s="77"/>
      <c r="H109" s="77"/>
      <c r="I109" s="77"/>
      <c r="J109" s="77"/>
      <c r="K109" s="77"/>
      <c r="L109" s="77"/>
      <c r="M109" s="77"/>
      <c r="N109" s="77"/>
      <c r="O109" s="77"/>
      <c r="P109" s="77"/>
      <c r="Q109" s="77"/>
      <c r="R109" s="77"/>
      <c r="S109" s="77"/>
      <c r="T109" s="77"/>
      <c r="U109" s="77"/>
      <c r="V109" s="77"/>
      <c r="W109" s="77"/>
      <c r="X109" s="77"/>
      <c r="Y109" s="77"/>
      <c r="Z109" s="77"/>
      <c r="AA109" s="77"/>
      <c r="AB109" s="77"/>
      <c r="AC109" s="77"/>
      <c r="AD109" s="77"/>
      <c r="AE109" s="77"/>
    </row>
    <row r="110" spans="1:31">
      <c r="A110" s="77"/>
      <c r="B110" s="77"/>
      <c r="C110" s="77"/>
      <c r="D110" s="77"/>
      <c r="E110" s="77"/>
      <c r="F110" s="77"/>
      <c r="G110" s="77"/>
      <c r="H110" s="77"/>
      <c r="I110" s="77"/>
      <c r="J110" s="77"/>
      <c r="K110" s="77"/>
      <c r="L110" s="77"/>
      <c r="M110" s="77"/>
      <c r="N110" s="77"/>
      <c r="O110" s="77"/>
      <c r="P110" s="77"/>
      <c r="Q110" s="77"/>
      <c r="R110" s="77"/>
      <c r="S110" s="77"/>
      <c r="T110" s="77"/>
      <c r="U110" s="77"/>
      <c r="V110" s="77"/>
      <c r="W110" s="77"/>
      <c r="X110" s="77"/>
      <c r="Y110" s="77"/>
      <c r="Z110" s="77"/>
      <c r="AA110" s="77"/>
      <c r="AB110" s="77"/>
      <c r="AC110" s="77"/>
      <c r="AD110" s="77"/>
      <c r="AE110" s="77"/>
    </row>
    <row r="111" spans="1:31">
      <c r="A111" s="77"/>
      <c r="B111" s="77"/>
      <c r="C111" s="77"/>
      <c r="D111" s="77"/>
      <c r="E111" s="77"/>
      <c r="F111" s="77"/>
      <c r="G111" s="77"/>
      <c r="H111" s="77"/>
      <c r="I111" s="77"/>
      <c r="J111" s="77"/>
      <c r="K111" s="77"/>
      <c r="L111" s="77"/>
      <c r="M111" s="77"/>
      <c r="N111" s="77"/>
      <c r="O111" s="77"/>
      <c r="P111" s="77"/>
      <c r="Q111" s="77"/>
      <c r="R111" s="77"/>
      <c r="S111" s="77"/>
      <c r="T111" s="77"/>
      <c r="U111" s="77"/>
      <c r="V111" s="77"/>
      <c r="W111" s="77"/>
      <c r="X111" s="77"/>
      <c r="Y111" s="77"/>
      <c r="Z111" s="77"/>
      <c r="AA111" s="77"/>
      <c r="AB111" s="77"/>
      <c r="AC111" s="77"/>
      <c r="AD111" s="77"/>
      <c r="AE111" s="77"/>
    </row>
    <row r="112" spans="1:31">
      <c r="A112" s="77"/>
      <c r="B112" s="77"/>
      <c r="C112" s="77"/>
      <c r="D112" s="77"/>
      <c r="E112" s="77"/>
      <c r="F112" s="77"/>
      <c r="G112" s="77"/>
      <c r="H112" s="77"/>
      <c r="I112" s="77"/>
      <c r="J112" s="77"/>
      <c r="K112" s="77"/>
      <c r="L112" s="77"/>
      <c r="M112" s="77"/>
      <c r="N112" s="77"/>
      <c r="O112" s="77"/>
      <c r="P112" s="77"/>
      <c r="Q112" s="77"/>
      <c r="R112" s="77"/>
      <c r="S112" s="77"/>
      <c r="T112" s="77"/>
      <c r="U112" s="77"/>
      <c r="V112" s="77"/>
      <c r="W112" s="77"/>
      <c r="X112" s="77"/>
      <c r="Y112" s="77"/>
      <c r="Z112" s="77"/>
      <c r="AA112" s="77"/>
      <c r="AB112" s="77"/>
      <c r="AC112" s="77"/>
      <c r="AD112" s="77"/>
      <c r="AE112" s="77"/>
    </row>
    <row r="113" spans="1:31">
      <c r="A113" s="77"/>
      <c r="B113" s="77"/>
      <c r="C113" s="77"/>
      <c r="D113" s="77"/>
      <c r="E113" s="77"/>
      <c r="F113" s="77"/>
      <c r="G113" s="77"/>
      <c r="H113" s="77"/>
      <c r="I113" s="77"/>
      <c r="J113" s="77"/>
      <c r="K113" s="77"/>
      <c r="L113" s="77"/>
      <c r="M113" s="77"/>
      <c r="N113" s="77"/>
      <c r="O113" s="77"/>
      <c r="P113" s="77"/>
      <c r="Q113" s="77"/>
      <c r="R113" s="77"/>
      <c r="S113" s="77"/>
      <c r="T113" s="77"/>
      <c r="U113" s="77"/>
      <c r="V113" s="77"/>
      <c r="W113" s="77"/>
      <c r="X113" s="77"/>
      <c r="Y113" s="77"/>
      <c r="Z113" s="77"/>
      <c r="AA113" s="77"/>
      <c r="AB113" s="77"/>
      <c r="AC113" s="77"/>
      <c r="AD113" s="77"/>
      <c r="AE113" s="77"/>
    </row>
    <row r="114" spans="1:31">
      <c r="A114" s="77"/>
      <c r="B114" s="77"/>
      <c r="C114" s="77"/>
      <c r="D114" s="77"/>
      <c r="E114" s="77"/>
      <c r="F114" s="77"/>
      <c r="G114" s="77"/>
      <c r="H114" s="77"/>
      <c r="I114" s="77"/>
      <c r="J114" s="77"/>
      <c r="K114" s="77"/>
      <c r="L114" s="77"/>
      <c r="M114" s="77"/>
      <c r="N114" s="77"/>
      <c r="O114" s="77"/>
      <c r="P114" s="77"/>
      <c r="Q114" s="77"/>
      <c r="R114" s="77"/>
      <c r="S114" s="77"/>
      <c r="T114" s="77"/>
      <c r="U114" s="77"/>
      <c r="V114" s="77"/>
      <c r="W114" s="77"/>
      <c r="X114" s="77"/>
      <c r="Y114" s="77"/>
      <c r="Z114" s="77"/>
      <c r="AA114" s="77"/>
      <c r="AB114" s="77"/>
      <c r="AC114" s="77"/>
      <c r="AD114" s="77"/>
      <c r="AE114" s="77"/>
    </row>
    <row r="115" spans="1:31">
      <c r="A115" s="77"/>
      <c r="B115" s="77"/>
      <c r="C115" s="77"/>
      <c r="D115" s="77"/>
      <c r="E115" s="77"/>
      <c r="F115" s="77"/>
      <c r="G115" s="77"/>
      <c r="H115" s="77"/>
      <c r="I115" s="77"/>
      <c r="J115" s="77"/>
      <c r="K115" s="77"/>
      <c r="L115" s="77"/>
      <c r="M115" s="77"/>
      <c r="N115" s="77"/>
      <c r="O115" s="77"/>
      <c r="P115" s="77"/>
      <c r="Q115" s="77"/>
      <c r="R115" s="77"/>
      <c r="S115" s="77"/>
      <c r="T115" s="77"/>
      <c r="U115" s="77"/>
      <c r="V115" s="77"/>
      <c r="W115" s="77"/>
      <c r="X115" s="77"/>
      <c r="Y115" s="77"/>
      <c r="Z115" s="77"/>
      <c r="AA115" s="77"/>
      <c r="AB115" s="77"/>
      <c r="AC115" s="77"/>
      <c r="AD115" s="77"/>
      <c r="AE115" s="77"/>
    </row>
    <row r="116" spans="1:31">
      <c r="A116" s="77"/>
      <c r="B116" s="77"/>
      <c r="C116" s="77"/>
      <c r="D116" s="77"/>
      <c r="E116" s="77"/>
      <c r="F116" s="77"/>
      <c r="G116" s="77"/>
      <c r="H116" s="77"/>
      <c r="I116" s="77"/>
      <c r="J116" s="77"/>
      <c r="K116" s="77"/>
      <c r="L116" s="77"/>
      <c r="M116" s="77"/>
      <c r="N116" s="77"/>
      <c r="O116" s="77"/>
      <c r="P116" s="77"/>
      <c r="Q116" s="77"/>
      <c r="R116" s="77"/>
      <c r="S116" s="77"/>
      <c r="T116" s="77"/>
      <c r="U116" s="77"/>
      <c r="V116" s="77"/>
      <c r="W116" s="77"/>
      <c r="X116" s="77"/>
      <c r="Y116" s="77"/>
      <c r="Z116" s="77"/>
      <c r="AA116" s="77"/>
      <c r="AB116" s="77"/>
      <c r="AC116" s="77"/>
      <c r="AD116" s="77"/>
      <c r="AE116" s="77"/>
    </row>
    <row r="117" spans="1:31">
      <c r="A117" s="77"/>
      <c r="B117" s="77"/>
      <c r="C117" s="77"/>
      <c r="D117" s="77"/>
      <c r="E117" s="77"/>
      <c r="F117" s="77"/>
      <c r="G117" s="77"/>
      <c r="H117" s="77"/>
      <c r="I117" s="77"/>
      <c r="J117" s="77"/>
      <c r="K117" s="77"/>
      <c r="L117" s="77"/>
      <c r="M117" s="77"/>
      <c r="N117" s="77"/>
      <c r="O117" s="77"/>
      <c r="P117" s="77"/>
      <c r="Q117" s="77"/>
      <c r="R117" s="77"/>
      <c r="S117" s="77"/>
      <c r="T117" s="77"/>
      <c r="U117" s="77"/>
      <c r="V117" s="77"/>
      <c r="W117" s="77"/>
      <c r="X117" s="77"/>
      <c r="Y117" s="77"/>
      <c r="Z117" s="77"/>
      <c r="AA117" s="77"/>
      <c r="AB117" s="77"/>
      <c r="AC117" s="77"/>
      <c r="AD117" s="77"/>
      <c r="AE117" s="77"/>
    </row>
    <row r="118" spans="1:31">
      <c r="A118" s="77"/>
      <c r="B118" s="77"/>
      <c r="C118" s="77"/>
      <c r="D118" s="77"/>
      <c r="E118" s="77"/>
      <c r="F118" s="77"/>
      <c r="G118" s="77"/>
      <c r="H118" s="77"/>
      <c r="I118" s="77"/>
      <c r="J118" s="77"/>
      <c r="K118" s="77"/>
      <c r="L118" s="77"/>
      <c r="M118" s="77"/>
      <c r="N118" s="77"/>
      <c r="O118" s="77"/>
      <c r="P118" s="77"/>
      <c r="Q118" s="77"/>
      <c r="R118" s="77"/>
      <c r="S118" s="77"/>
      <c r="T118" s="77"/>
      <c r="U118" s="77"/>
      <c r="V118" s="77"/>
      <c r="W118" s="77"/>
      <c r="X118" s="77"/>
      <c r="Y118" s="77"/>
      <c r="Z118" s="77"/>
      <c r="AA118" s="77"/>
      <c r="AB118" s="77"/>
      <c r="AC118" s="77"/>
      <c r="AD118" s="77"/>
      <c r="AE118" s="77"/>
    </row>
    <row r="119" spans="1:31">
      <c r="A119" s="77"/>
      <c r="B119" s="77"/>
      <c r="C119" s="77"/>
      <c r="D119" s="77"/>
      <c r="E119" s="77"/>
      <c r="F119" s="77"/>
      <c r="G119" s="77"/>
      <c r="H119" s="77"/>
      <c r="I119" s="77"/>
      <c r="J119" s="77"/>
      <c r="K119" s="77"/>
      <c r="L119" s="77"/>
      <c r="M119" s="77"/>
      <c r="N119" s="77"/>
      <c r="O119" s="77"/>
      <c r="P119" s="77"/>
      <c r="Q119" s="77"/>
      <c r="R119" s="77"/>
      <c r="S119" s="77"/>
      <c r="T119" s="77"/>
      <c r="U119" s="77"/>
      <c r="V119" s="77"/>
      <c r="W119" s="77"/>
      <c r="X119" s="77"/>
      <c r="Y119" s="77"/>
      <c r="Z119" s="77"/>
      <c r="AA119" s="77"/>
      <c r="AB119" s="77"/>
      <c r="AC119" s="77"/>
      <c r="AD119" s="77"/>
      <c r="AE119" s="77"/>
    </row>
    <row r="120" spans="1:31">
      <c r="A120" s="77"/>
      <c r="B120" s="77"/>
      <c r="C120" s="77"/>
      <c r="D120" s="77"/>
      <c r="E120" s="77"/>
      <c r="F120" s="77"/>
      <c r="G120" s="77"/>
      <c r="H120" s="77"/>
      <c r="I120" s="77"/>
      <c r="J120" s="77"/>
      <c r="K120" s="77"/>
      <c r="L120" s="77"/>
      <c r="M120" s="77"/>
      <c r="N120" s="77"/>
      <c r="O120" s="77"/>
      <c r="P120" s="77"/>
      <c r="Q120" s="77"/>
      <c r="R120" s="77"/>
      <c r="S120" s="77"/>
      <c r="T120" s="77"/>
      <c r="U120" s="77"/>
      <c r="V120" s="77"/>
      <c r="W120" s="77"/>
      <c r="X120" s="77"/>
      <c r="Y120" s="77"/>
      <c r="Z120" s="77"/>
      <c r="AA120" s="77"/>
      <c r="AB120" s="77"/>
      <c r="AC120" s="77"/>
      <c r="AD120" s="77"/>
      <c r="AE120" s="77"/>
    </row>
    <row r="121" spans="1:31">
      <c r="A121" s="77"/>
      <c r="B121" s="77"/>
      <c r="C121" s="77"/>
      <c r="D121" s="77"/>
      <c r="E121" s="77"/>
      <c r="F121" s="77"/>
      <c r="G121" s="77"/>
      <c r="H121" s="77"/>
      <c r="I121" s="77"/>
      <c r="J121" s="77"/>
      <c r="K121" s="77"/>
      <c r="L121" s="77"/>
      <c r="M121" s="77"/>
      <c r="N121" s="77"/>
      <c r="O121" s="77"/>
      <c r="P121" s="77"/>
      <c r="Q121" s="77"/>
      <c r="R121" s="77"/>
      <c r="S121" s="77"/>
      <c r="T121" s="77"/>
      <c r="U121" s="77"/>
      <c r="V121" s="77"/>
      <c r="W121" s="77"/>
      <c r="X121" s="77"/>
      <c r="Y121" s="77"/>
      <c r="Z121" s="77"/>
      <c r="AA121" s="77"/>
      <c r="AB121" s="77"/>
      <c r="AC121" s="77"/>
      <c r="AD121" s="77"/>
      <c r="AE121" s="77"/>
    </row>
    <row r="122" spans="1:31">
      <c r="A122" s="77"/>
      <c r="B122" s="77"/>
      <c r="C122" s="77"/>
      <c r="D122" s="77"/>
      <c r="E122" s="77"/>
      <c r="F122" s="77"/>
      <c r="G122" s="77"/>
      <c r="H122" s="77"/>
      <c r="I122" s="77"/>
      <c r="J122" s="77"/>
      <c r="K122" s="77"/>
      <c r="L122" s="77"/>
      <c r="M122" s="77"/>
      <c r="N122" s="77"/>
      <c r="O122" s="77"/>
      <c r="P122" s="77"/>
      <c r="Q122" s="77"/>
      <c r="R122" s="77"/>
      <c r="S122" s="77"/>
      <c r="T122" s="77"/>
      <c r="U122" s="77"/>
      <c r="V122" s="77"/>
      <c r="W122" s="77"/>
      <c r="X122" s="77"/>
      <c r="Y122" s="77"/>
      <c r="Z122" s="77"/>
      <c r="AA122" s="77"/>
      <c r="AB122" s="77"/>
      <c r="AC122" s="77"/>
      <c r="AD122" s="77"/>
      <c r="AE122" s="77"/>
    </row>
    <row r="123" spans="1:31">
      <c r="A123" s="77"/>
      <c r="B123" s="77"/>
      <c r="C123" s="77"/>
      <c r="D123" s="77"/>
      <c r="E123" s="77"/>
      <c r="F123" s="77"/>
      <c r="G123" s="77"/>
      <c r="H123" s="77"/>
      <c r="I123" s="77"/>
      <c r="J123" s="77"/>
      <c r="K123" s="77"/>
      <c r="L123" s="77"/>
      <c r="M123" s="77"/>
      <c r="N123" s="77"/>
      <c r="O123" s="77"/>
      <c r="P123" s="77"/>
      <c r="Q123" s="77"/>
      <c r="R123" s="77"/>
      <c r="S123" s="77"/>
      <c r="T123" s="77"/>
      <c r="U123" s="77"/>
      <c r="V123" s="77"/>
      <c r="W123" s="77"/>
      <c r="X123" s="77"/>
      <c r="Y123" s="77"/>
      <c r="Z123" s="77"/>
      <c r="AA123" s="77"/>
      <c r="AB123" s="77"/>
      <c r="AC123" s="77"/>
      <c r="AD123" s="77"/>
      <c r="AE123" s="77"/>
    </row>
    <row r="124" spans="1:31">
      <c r="A124" s="77"/>
      <c r="B124" s="77"/>
      <c r="C124" s="77"/>
      <c r="D124" s="77"/>
      <c r="E124" s="77"/>
      <c r="F124" s="77"/>
      <c r="G124" s="77"/>
      <c r="H124" s="77"/>
      <c r="I124" s="77"/>
      <c r="J124" s="77"/>
      <c r="K124" s="77"/>
      <c r="L124" s="77"/>
      <c r="M124" s="77"/>
      <c r="N124" s="77"/>
      <c r="O124" s="77"/>
      <c r="P124" s="77"/>
      <c r="Q124" s="77"/>
      <c r="R124" s="77"/>
      <c r="S124" s="77"/>
      <c r="T124" s="77"/>
      <c r="U124" s="77"/>
      <c r="V124" s="77"/>
      <c r="W124" s="77"/>
      <c r="X124" s="77"/>
      <c r="Y124" s="77"/>
      <c r="Z124" s="77"/>
      <c r="AA124" s="77"/>
      <c r="AB124" s="77"/>
      <c r="AC124" s="77"/>
      <c r="AD124" s="77"/>
      <c r="AE124" s="77"/>
    </row>
    <row r="125" spans="1:31">
      <c r="A125" s="77"/>
      <c r="B125" s="77"/>
      <c r="C125" s="77"/>
      <c r="D125" s="77"/>
      <c r="E125" s="77"/>
      <c r="F125" s="77"/>
      <c r="G125" s="77"/>
      <c r="H125" s="77"/>
      <c r="I125" s="77"/>
      <c r="J125" s="77"/>
      <c r="K125" s="77"/>
      <c r="L125" s="77"/>
      <c r="M125" s="77"/>
      <c r="N125" s="77"/>
      <c r="O125" s="77"/>
      <c r="P125" s="77"/>
      <c r="Q125" s="77"/>
      <c r="R125" s="77"/>
      <c r="S125" s="77"/>
      <c r="T125" s="77"/>
      <c r="U125" s="77"/>
      <c r="V125" s="77"/>
      <c r="W125" s="77"/>
      <c r="X125" s="77"/>
      <c r="Y125" s="77"/>
      <c r="Z125" s="77"/>
      <c r="AA125" s="77"/>
      <c r="AB125" s="77"/>
      <c r="AC125" s="77"/>
      <c r="AD125" s="77"/>
      <c r="AE125" s="77"/>
    </row>
    <row r="126" spans="1:31">
      <c r="A126" s="77"/>
      <c r="B126" s="77"/>
      <c r="C126" s="77"/>
      <c r="D126" s="77"/>
      <c r="E126" s="77"/>
      <c r="F126" s="77"/>
      <c r="G126" s="77"/>
      <c r="H126" s="77"/>
      <c r="I126" s="77"/>
      <c r="J126" s="77"/>
      <c r="K126" s="77"/>
      <c r="L126" s="77"/>
      <c r="M126" s="77"/>
      <c r="N126" s="77"/>
      <c r="O126" s="77"/>
      <c r="P126" s="77"/>
      <c r="Q126" s="77"/>
      <c r="R126" s="77"/>
      <c r="S126" s="77"/>
      <c r="T126" s="77"/>
      <c r="U126" s="77"/>
      <c r="V126" s="77"/>
      <c r="W126" s="77"/>
      <c r="X126" s="77"/>
      <c r="Y126" s="77"/>
      <c r="Z126" s="77"/>
      <c r="AA126" s="77"/>
      <c r="AB126" s="77"/>
      <c r="AC126" s="77"/>
      <c r="AD126" s="77"/>
      <c r="AE126" s="77"/>
    </row>
    <row r="127" spans="1:31">
      <c r="A127" s="77"/>
      <c r="B127" s="77"/>
      <c r="C127" s="77"/>
      <c r="D127" s="77"/>
      <c r="E127" s="77"/>
      <c r="F127" s="77"/>
      <c r="G127" s="77"/>
      <c r="H127" s="77"/>
      <c r="I127" s="77"/>
      <c r="J127" s="77"/>
      <c r="K127" s="77"/>
      <c r="L127" s="77"/>
      <c r="M127" s="77"/>
      <c r="N127" s="77"/>
      <c r="O127" s="77"/>
      <c r="P127" s="77"/>
      <c r="Q127" s="77"/>
      <c r="R127" s="77"/>
      <c r="S127" s="77"/>
      <c r="T127" s="77"/>
      <c r="U127" s="77"/>
      <c r="V127" s="77"/>
      <c r="W127" s="77"/>
      <c r="X127" s="77"/>
      <c r="Y127" s="77"/>
      <c r="Z127" s="77"/>
      <c r="AA127" s="77"/>
      <c r="AB127" s="77"/>
      <c r="AC127" s="77"/>
      <c r="AD127" s="77"/>
      <c r="AE127" s="77"/>
    </row>
    <row r="128" spans="1:31">
      <c r="A128" s="77"/>
      <c r="B128" s="77"/>
      <c r="C128" s="77"/>
      <c r="D128" s="77"/>
      <c r="E128" s="77"/>
      <c r="F128" s="77"/>
      <c r="G128" s="77"/>
      <c r="H128" s="77"/>
      <c r="I128" s="77"/>
      <c r="J128" s="77"/>
      <c r="K128" s="77"/>
      <c r="L128" s="77"/>
      <c r="M128" s="77"/>
      <c r="N128" s="77"/>
      <c r="O128" s="77"/>
      <c r="P128" s="77"/>
      <c r="Q128" s="77"/>
      <c r="R128" s="77"/>
      <c r="S128" s="77"/>
      <c r="T128" s="77"/>
      <c r="U128" s="77"/>
      <c r="V128" s="77"/>
      <c r="W128" s="77"/>
      <c r="X128" s="77"/>
      <c r="Y128" s="77"/>
      <c r="Z128" s="77"/>
      <c r="AA128" s="77"/>
      <c r="AB128" s="77"/>
      <c r="AC128" s="77"/>
      <c r="AD128" s="77"/>
      <c r="AE128" s="77"/>
    </row>
    <row r="129" spans="1:31">
      <c r="A129" s="77"/>
      <c r="B129" s="77"/>
      <c r="C129" s="77"/>
      <c r="D129" s="77"/>
      <c r="E129" s="77"/>
      <c r="F129" s="77"/>
      <c r="G129" s="77"/>
      <c r="H129" s="77"/>
      <c r="I129" s="77"/>
      <c r="J129" s="77"/>
      <c r="K129" s="77"/>
      <c r="L129" s="77"/>
      <c r="M129" s="77"/>
      <c r="N129" s="77"/>
      <c r="O129" s="77"/>
      <c r="P129" s="77"/>
      <c r="Q129" s="77"/>
      <c r="R129" s="77"/>
      <c r="S129" s="77"/>
      <c r="T129" s="77"/>
      <c r="U129" s="77"/>
      <c r="V129" s="77"/>
      <c r="W129" s="77"/>
      <c r="X129" s="77"/>
      <c r="Y129" s="77"/>
      <c r="Z129" s="77"/>
      <c r="AA129" s="77"/>
      <c r="AB129" s="77"/>
      <c r="AC129" s="77"/>
      <c r="AD129" s="77"/>
      <c r="AE129" s="77"/>
    </row>
    <row r="130" spans="1:31">
      <c r="A130" s="77"/>
      <c r="B130" s="77"/>
      <c r="C130" s="77"/>
      <c r="D130" s="77"/>
      <c r="E130" s="77"/>
      <c r="F130" s="77"/>
      <c r="G130" s="77"/>
      <c r="H130" s="77"/>
      <c r="I130" s="77"/>
      <c r="J130" s="77"/>
      <c r="K130" s="77"/>
      <c r="L130" s="77"/>
      <c r="M130" s="77"/>
      <c r="N130" s="77"/>
      <c r="O130" s="77"/>
      <c r="P130" s="77"/>
      <c r="Q130" s="77"/>
      <c r="R130" s="77"/>
      <c r="S130" s="77"/>
      <c r="T130" s="77"/>
      <c r="U130" s="77"/>
      <c r="V130" s="77"/>
      <c r="W130" s="77"/>
      <c r="X130" s="77"/>
      <c r="Y130" s="77"/>
      <c r="Z130" s="77"/>
      <c r="AA130" s="77"/>
      <c r="AB130" s="77"/>
      <c r="AC130" s="77"/>
      <c r="AD130" s="77"/>
      <c r="AE130" s="77"/>
    </row>
    <row r="131" spans="1:31">
      <c r="A131" s="77"/>
      <c r="B131" s="77"/>
      <c r="C131" s="77"/>
      <c r="D131" s="77"/>
      <c r="E131" s="77"/>
      <c r="F131" s="77"/>
      <c r="G131" s="77"/>
      <c r="H131" s="77"/>
      <c r="I131" s="77"/>
      <c r="J131" s="77"/>
      <c r="K131" s="77"/>
      <c r="L131" s="77"/>
      <c r="M131" s="77"/>
      <c r="N131" s="77"/>
      <c r="O131" s="77"/>
      <c r="P131" s="77"/>
      <c r="Q131" s="77"/>
      <c r="R131" s="77"/>
      <c r="S131" s="77"/>
      <c r="T131" s="77"/>
      <c r="U131" s="77"/>
      <c r="V131" s="77"/>
      <c r="W131" s="77"/>
      <c r="X131" s="77"/>
      <c r="Y131" s="77"/>
      <c r="Z131" s="77"/>
      <c r="AA131" s="77"/>
      <c r="AB131" s="77"/>
      <c r="AC131" s="77"/>
      <c r="AD131" s="77"/>
      <c r="AE131" s="77"/>
    </row>
    <row r="132" spans="1:31">
      <c r="A132" s="77"/>
      <c r="B132" s="77"/>
      <c r="C132" s="77"/>
      <c r="D132" s="77"/>
      <c r="E132" s="77"/>
      <c r="F132" s="77"/>
      <c r="G132" s="77"/>
      <c r="H132" s="77"/>
      <c r="I132" s="77"/>
      <c r="J132" s="77"/>
      <c r="K132" s="77"/>
      <c r="L132" s="77"/>
      <c r="M132" s="77"/>
      <c r="N132" s="77"/>
      <c r="O132" s="77"/>
      <c r="P132" s="77"/>
      <c r="Q132" s="77"/>
      <c r="R132" s="77"/>
      <c r="S132" s="77"/>
      <c r="T132" s="77"/>
      <c r="U132" s="77"/>
      <c r="V132" s="77"/>
      <c r="W132" s="77"/>
      <c r="X132" s="77"/>
      <c r="Y132" s="77"/>
      <c r="Z132" s="77"/>
      <c r="AA132" s="77"/>
      <c r="AB132" s="77"/>
      <c r="AC132" s="77"/>
      <c r="AD132" s="77"/>
      <c r="AE132" s="77"/>
    </row>
    <row r="133" spans="1:31">
      <c r="A133" s="77"/>
      <c r="B133" s="77"/>
      <c r="C133" s="77"/>
      <c r="D133" s="77"/>
      <c r="E133" s="77"/>
      <c r="F133" s="77"/>
      <c r="G133" s="77"/>
      <c r="H133" s="77"/>
      <c r="I133" s="77"/>
      <c r="J133" s="77"/>
      <c r="K133" s="77"/>
      <c r="L133" s="77"/>
      <c r="M133" s="77"/>
      <c r="N133" s="77"/>
      <c r="O133" s="77"/>
      <c r="P133" s="77"/>
      <c r="Q133" s="77"/>
      <c r="R133" s="77"/>
      <c r="S133" s="77"/>
      <c r="T133" s="77"/>
      <c r="U133" s="77"/>
      <c r="V133" s="77"/>
      <c r="W133" s="77"/>
      <c r="X133" s="77"/>
      <c r="Y133" s="77"/>
      <c r="Z133" s="77"/>
      <c r="AA133" s="77"/>
      <c r="AB133" s="77"/>
      <c r="AC133" s="77"/>
      <c r="AD133" s="77"/>
      <c r="AE133" s="77"/>
    </row>
    <row r="134" spans="1:31">
      <c r="A134" s="77"/>
      <c r="B134" s="77"/>
      <c r="C134" s="77"/>
      <c r="D134" s="77"/>
      <c r="E134" s="77"/>
      <c r="F134" s="77"/>
      <c r="G134" s="77"/>
      <c r="H134" s="77"/>
      <c r="I134" s="77"/>
      <c r="J134" s="77"/>
      <c r="K134" s="77"/>
      <c r="L134" s="77"/>
      <c r="M134" s="77"/>
      <c r="N134" s="77"/>
      <c r="O134" s="77"/>
      <c r="P134" s="77"/>
      <c r="Q134" s="77"/>
      <c r="R134" s="77"/>
      <c r="S134" s="77"/>
      <c r="T134" s="77"/>
      <c r="U134" s="77"/>
      <c r="V134" s="77"/>
      <c r="W134" s="77"/>
      <c r="X134" s="77"/>
      <c r="Y134" s="77"/>
      <c r="Z134" s="77"/>
      <c r="AA134" s="77"/>
      <c r="AB134" s="77"/>
      <c r="AC134" s="77"/>
      <c r="AD134" s="77"/>
      <c r="AE134" s="77"/>
    </row>
    <row r="135" spans="1:31">
      <c r="A135" s="77"/>
      <c r="B135" s="77"/>
      <c r="C135" s="77"/>
      <c r="D135" s="77"/>
      <c r="E135" s="77"/>
      <c r="F135" s="77"/>
      <c r="G135" s="77"/>
      <c r="H135" s="77"/>
      <c r="I135" s="77"/>
      <c r="J135" s="77"/>
      <c r="K135" s="77"/>
      <c r="L135" s="77"/>
      <c r="M135" s="77"/>
      <c r="N135" s="77"/>
      <c r="O135" s="77"/>
      <c r="P135" s="77"/>
      <c r="Q135" s="77"/>
      <c r="R135" s="77"/>
      <c r="S135" s="77"/>
      <c r="T135" s="77"/>
      <c r="U135" s="77"/>
      <c r="V135" s="77"/>
      <c r="W135" s="77"/>
      <c r="X135" s="77"/>
      <c r="Y135" s="77"/>
      <c r="Z135" s="77"/>
      <c r="AA135" s="77"/>
      <c r="AB135" s="77"/>
      <c r="AC135" s="77"/>
      <c r="AD135" s="77"/>
      <c r="AE135" s="77"/>
    </row>
    <row r="136" spans="1:31">
      <c r="A136" s="77"/>
      <c r="B136" s="77"/>
      <c r="C136" s="77"/>
      <c r="D136" s="77"/>
      <c r="E136" s="77"/>
      <c r="F136" s="77"/>
      <c r="G136" s="77"/>
      <c r="H136" s="77"/>
      <c r="I136" s="77"/>
      <c r="J136" s="77"/>
      <c r="K136" s="77"/>
      <c r="L136" s="77"/>
      <c r="M136" s="77"/>
      <c r="N136" s="77"/>
      <c r="O136" s="77"/>
      <c r="P136" s="77"/>
      <c r="Q136" s="77"/>
      <c r="R136" s="77"/>
      <c r="S136" s="77"/>
      <c r="T136" s="77"/>
      <c r="U136" s="77"/>
      <c r="V136" s="77"/>
      <c r="W136" s="77"/>
      <c r="X136" s="77"/>
      <c r="Y136" s="77"/>
      <c r="Z136" s="77"/>
      <c r="AA136" s="77"/>
      <c r="AB136" s="77"/>
      <c r="AC136" s="77"/>
      <c r="AD136" s="77"/>
      <c r="AE136" s="77"/>
    </row>
    <row r="137" spans="1:3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c r="Z137" s="77"/>
      <c r="AA137" s="77"/>
      <c r="AB137" s="77"/>
      <c r="AC137" s="77"/>
      <c r="AD137" s="77"/>
      <c r="AE137" s="77"/>
    </row>
    <row r="138" spans="1:31">
      <c r="A138" s="77"/>
      <c r="B138" s="77"/>
      <c r="C138" s="77"/>
      <c r="D138" s="77"/>
      <c r="E138" s="77"/>
      <c r="F138" s="77"/>
      <c r="G138" s="77"/>
      <c r="H138" s="77"/>
      <c r="I138" s="77"/>
      <c r="J138" s="77"/>
      <c r="K138" s="77"/>
      <c r="L138" s="77"/>
      <c r="M138" s="77"/>
      <c r="N138" s="77"/>
      <c r="O138" s="77"/>
      <c r="P138" s="77"/>
      <c r="Q138" s="77"/>
      <c r="R138" s="77"/>
      <c r="S138" s="77"/>
      <c r="T138" s="77"/>
      <c r="U138" s="77"/>
      <c r="V138" s="77"/>
      <c r="W138" s="77"/>
      <c r="X138" s="77"/>
      <c r="Y138" s="77"/>
      <c r="Z138" s="77"/>
      <c r="AA138" s="77"/>
      <c r="AB138" s="77"/>
      <c r="AC138" s="77"/>
      <c r="AD138" s="77"/>
      <c r="AE138" s="77"/>
    </row>
    <row r="139" spans="1:31">
      <c r="A139" s="77"/>
      <c r="B139" s="77"/>
      <c r="C139" s="77"/>
      <c r="D139" s="77"/>
      <c r="E139" s="77"/>
      <c r="F139" s="77"/>
      <c r="G139" s="77"/>
      <c r="H139" s="77"/>
      <c r="I139" s="77"/>
      <c r="J139" s="77"/>
      <c r="K139" s="77"/>
      <c r="L139" s="77"/>
      <c r="M139" s="77"/>
      <c r="N139" s="77"/>
      <c r="O139" s="77"/>
      <c r="P139" s="77"/>
      <c r="Q139" s="77"/>
      <c r="R139" s="77"/>
      <c r="S139" s="77"/>
      <c r="T139" s="77"/>
      <c r="U139" s="77"/>
      <c r="V139" s="77"/>
      <c r="W139" s="77"/>
      <c r="X139" s="77"/>
      <c r="Y139" s="77"/>
      <c r="Z139" s="77"/>
      <c r="AA139" s="77"/>
      <c r="AB139" s="77"/>
      <c r="AC139" s="77"/>
      <c r="AD139" s="77"/>
      <c r="AE139" s="77"/>
    </row>
    <row r="140" spans="1:31">
      <c r="A140" s="77"/>
      <c r="B140" s="77"/>
      <c r="C140" s="77"/>
      <c r="D140" s="77"/>
      <c r="E140" s="77"/>
      <c r="F140" s="77"/>
      <c r="G140" s="77"/>
      <c r="H140" s="77"/>
      <c r="I140" s="77"/>
      <c r="J140" s="77"/>
      <c r="K140" s="77"/>
      <c r="L140" s="77"/>
      <c r="M140" s="77"/>
      <c r="N140" s="77"/>
      <c r="O140" s="77"/>
      <c r="P140" s="77"/>
      <c r="Q140" s="77"/>
      <c r="R140" s="77"/>
      <c r="S140" s="77"/>
      <c r="T140" s="77"/>
      <c r="U140" s="77"/>
      <c r="V140" s="77"/>
      <c r="W140" s="77"/>
      <c r="X140" s="77"/>
      <c r="Y140" s="77"/>
      <c r="Z140" s="77"/>
      <c r="AA140" s="77"/>
      <c r="AB140" s="77"/>
      <c r="AC140" s="77"/>
      <c r="AD140" s="77"/>
      <c r="AE140" s="77"/>
    </row>
    <row r="141" spans="1:3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c r="Z141" s="77"/>
      <c r="AA141" s="77"/>
      <c r="AB141" s="77"/>
      <c r="AC141" s="77"/>
      <c r="AD141" s="77"/>
      <c r="AE141" s="77"/>
    </row>
    <row r="142" spans="1:31">
      <c r="A142" s="77"/>
      <c r="B142" s="77"/>
      <c r="C142" s="77"/>
      <c r="D142" s="77"/>
      <c r="E142" s="77"/>
      <c r="F142" s="77"/>
      <c r="G142" s="77"/>
      <c r="H142" s="77"/>
      <c r="I142" s="77"/>
      <c r="J142" s="77"/>
      <c r="K142" s="77"/>
      <c r="L142" s="77"/>
      <c r="M142" s="77"/>
      <c r="N142" s="77"/>
      <c r="O142" s="77"/>
      <c r="P142" s="77"/>
      <c r="Q142" s="77"/>
      <c r="R142" s="77"/>
      <c r="S142" s="77"/>
      <c r="T142" s="77"/>
      <c r="U142" s="77"/>
      <c r="V142" s="77"/>
      <c r="W142" s="77"/>
      <c r="X142" s="77"/>
      <c r="Y142" s="77"/>
      <c r="Z142" s="77"/>
      <c r="AA142" s="77"/>
      <c r="AB142" s="77"/>
      <c r="AC142" s="77"/>
      <c r="AD142" s="77"/>
      <c r="AE142" s="77"/>
    </row>
    <row r="143" spans="1:31">
      <c r="A143" s="77"/>
      <c r="B143" s="77"/>
      <c r="C143" s="77"/>
      <c r="D143" s="77"/>
      <c r="E143" s="77"/>
      <c r="F143" s="77"/>
      <c r="G143" s="77"/>
      <c r="H143" s="77"/>
      <c r="I143" s="77"/>
      <c r="J143" s="77"/>
      <c r="K143" s="77"/>
      <c r="L143" s="77"/>
      <c r="M143" s="77"/>
      <c r="N143" s="77"/>
      <c r="O143" s="77"/>
      <c r="P143" s="77"/>
      <c r="Q143" s="77"/>
      <c r="R143" s="77"/>
      <c r="S143" s="77"/>
      <c r="T143" s="77"/>
      <c r="U143" s="77"/>
      <c r="V143" s="77"/>
      <c r="W143" s="77"/>
      <c r="X143" s="77"/>
      <c r="Y143" s="77"/>
      <c r="Z143" s="77"/>
      <c r="AA143" s="77"/>
      <c r="AB143" s="77"/>
      <c r="AC143" s="77"/>
      <c r="AD143" s="77"/>
      <c r="AE143" s="77"/>
    </row>
    <row r="144" spans="1:31">
      <c r="A144" s="77"/>
      <c r="B144" s="77"/>
      <c r="C144" s="77"/>
      <c r="D144" s="77"/>
      <c r="E144" s="77"/>
      <c r="F144" s="77"/>
      <c r="G144" s="77"/>
      <c r="H144" s="77"/>
      <c r="I144" s="77"/>
      <c r="J144" s="77"/>
      <c r="K144" s="77"/>
      <c r="L144" s="77"/>
      <c r="M144" s="77"/>
      <c r="N144" s="77"/>
      <c r="O144" s="77"/>
      <c r="P144" s="77"/>
      <c r="Q144" s="77"/>
      <c r="R144" s="77"/>
      <c r="S144" s="77"/>
      <c r="T144" s="77"/>
      <c r="U144" s="77"/>
      <c r="V144" s="77"/>
      <c r="W144" s="77"/>
      <c r="X144" s="77"/>
      <c r="Y144" s="77"/>
      <c r="Z144" s="77"/>
      <c r="AA144" s="77"/>
      <c r="AB144" s="77"/>
      <c r="AC144" s="77"/>
      <c r="AD144" s="77"/>
      <c r="AE144" s="77"/>
    </row>
    <row r="145" spans="1:31">
      <c r="A145" s="77"/>
      <c r="B145" s="77"/>
      <c r="C145" s="77"/>
      <c r="D145" s="77"/>
      <c r="E145" s="77"/>
      <c r="F145" s="77"/>
      <c r="G145" s="77"/>
      <c r="H145" s="77"/>
      <c r="I145" s="77"/>
      <c r="J145" s="77"/>
      <c r="K145" s="77"/>
      <c r="L145" s="77"/>
      <c r="M145" s="77"/>
      <c r="N145" s="77"/>
      <c r="O145" s="77"/>
      <c r="P145" s="77"/>
      <c r="Q145" s="77"/>
      <c r="R145" s="77"/>
      <c r="S145" s="77"/>
      <c r="T145" s="77"/>
      <c r="U145" s="77"/>
      <c r="V145" s="77"/>
      <c r="W145" s="77"/>
      <c r="X145" s="77"/>
      <c r="Y145" s="77"/>
      <c r="Z145" s="77"/>
      <c r="AA145" s="77"/>
      <c r="AB145" s="77"/>
      <c r="AC145" s="77"/>
      <c r="AD145" s="77"/>
      <c r="AE145" s="77"/>
    </row>
    <row r="146" spans="1:31">
      <c r="A146" s="77"/>
      <c r="B146" s="77"/>
      <c r="C146" s="77"/>
      <c r="D146" s="77"/>
      <c r="E146" s="77"/>
      <c r="F146" s="77"/>
      <c r="G146" s="77"/>
      <c r="H146" s="77"/>
      <c r="I146" s="77"/>
      <c r="J146" s="77"/>
      <c r="K146" s="77"/>
      <c r="L146" s="77"/>
      <c r="M146" s="77"/>
      <c r="N146" s="77"/>
      <c r="O146" s="77"/>
      <c r="P146" s="77"/>
      <c r="Q146" s="77"/>
      <c r="R146" s="77"/>
      <c r="S146" s="77"/>
      <c r="T146" s="77"/>
      <c r="U146" s="77"/>
      <c r="V146" s="77"/>
      <c r="W146" s="77"/>
      <c r="X146" s="77"/>
      <c r="Y146" s="77"/>
      <c r="Z146" s="77"/>
      <c r="AA146" s="77"/>
      <c r="AB146" s="77"/>
      <c r="AC146" s="77"/>
      <c r="AD146" s="77"/>
      <c r="AE146" s="77"/>
    </row>
    <row r="147" spans="1:31">
      <c r="A147" s="77"/>
      <c r="B147" s="77"/>
      <c r="C147" s="77"/>
      <c r="D147" s="77"/>
      <c r="E147" s="77"/>
      <c r="F147" s="77"/>
      <c r="G147" s="77"/>
      <c r="H147" s="77"/>
      <c r="I147" s="77"/>
      <c r="J147" s="77"/>
      <c r="K147" s="77"/>
      <c r="L147" s="77"/>
      <c r="M147" s="77"/>
      <c r="N147" s="77"/>
      <c r="O147" s="77"/>
      <c r="P147" s="77"/>
      <c r="Q147" s="77"/>
      <c r="R147" s="77"/>
      <c r="S147" s="77"/>
      <c r="T147" s="77"/>
      <c r="U147" s="77"/>
      <c r="V147" s="77"/>
      <c r="W147" s="77"/>
      <c r="X147" s="77"/>
      <c r="Y147" s="77"/>
      <c r="Z147" s="77"/>
      <c r="AA147" s="77"/>
      <c r="AB147" s="77"/>
      <c r="AC147" s="77"/>
      <c r="AD147" s="77"/>
      <c r="AE147" s="77"/>
    </row>
    <row r="148" spans="1:31">
      <c r="A148" s="77"/>
      <c r="B148" s="77"/>
      <c r="C148" s="77"/>
      <c r="D148" s="77"/>
      <c r="E148" s="77"/>
      <c r="F148" s="77"/>
      <c r="G148" s="77"/>
      <c r="H148" s="77"/>
      <c r="I148" s="77"/>
      <c r="J148" s="77"/>
      <c r="K148" s="77"/>
      <c r="L148" s="77"/>
      <c r="M148" s="77"/>
      <c r="N148" s="77"/>
      <c r="O148" s="77"/>
      <c r="P148" s="77"/>
      <c r="Q148" s="77"/>
      <c r="R148" s="77"/>
      <c r="S148" s="77"/>
      <c r="T148" s="77"/>
      <c r="U148" s="77"/>
      <c r="V148" s="77"/>
      <c r="W148" s="77"/>
      <c r="X148" s="77"/>
      <c r="Y148" s="77"/>
      <c r="Z148" s="77"/>
      <c r="AA148" s="77"/>
      <c r="AB148" s="77"/>
      <c r="AC148" s="77"/>
      <c r="AD148" s="77"/>
      <c r="AE148" s="77"/>
    </row>
    <row r="149" spans="1:31">
      <c r="A149" s="77"/>
      <c r="B149" s="77"/>
      <c r="C149" s="77"/>
      <c r="D149" s="77"/>
      <c r="E149" s="77"/>
      <c r="F149" s="77"/>
      <c r="G149" s="77"/>
      <c r="H149" s="77"/>
      <c r="I149" s="77"/>
      <c r="J149" s="77"/>
      <c r="K149" s="77"/>
      <c r="L149" s="77"/>
      <c r="M149" s="77"/>
      <c r="N149" s="77"/>
      <c r="O149" s="77"/>
      <c r="P149" s="77"/>
      <c r="Q149" s="77"/>
      <c r="R149" s="77"/>
      <c r="S149" s="77"/>
      <c r="T149" s="77"/>
      <c r="U149" s="77"/>
      <c r="V149" s="77"/>
      <c r="W149" s="77"/>
      <c r="X149" s="77"/>
      <c r="Y149" s="77"/>
      <c r="Z149" s="77"/>
      <c r="AA149" s="77"/>
      <c r="AB149" s="77"/>
      <c r="AC149" s="77"/>
      <c r="AD149" s="77"/>
      <c r="AE149" s="77"/>
    </row>
    <row r="150" spans="1:31">
      <c r="A150" s="77"/>
      <c r="B150" s="77"/>
      <c r="C150" s="77"/>
      <c r="D150" s="77"/>
      <c r="E150" s="77"/>
      <c r="F150" s="77"/>
      <c r="G150" s="77"/>
      <c r="H150" s="77"/>
      <c r="I150" s="77"/>
      <c r="J150" s="77"/>
      <c r="K150" s="77"/>
      <c r="L150" s="77"/>
      <c r="M150" s="77"/>
      <c r="N150" s="77"/>
      <c r="O150" s="77"/>
      <c r="P150" s="77"/>
      <c r="Q150" s="77"/>
      <c r="R150" s="77"/>
      <c r="S150" s="77"/>
      <c r="T150" s="77"/>
      <c r="U150" s="77"/>
      <c r="V150" s="77"/>
      <c r="W150" s="77"/>
      <c r="X150" s="77"/>
      <c r="Y150" s="77"/>
      <c r="Z150" s="77"/>
      <c r="AA150" s="77"/>
      <c r="AB150" s="77"/>
      <c r="AC150" s="77"/>
      <c r="AD150" s="77"/>
      <c r="AE150" s="77"/>
    </row>
    <row r="151" spans="1:31">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77"/>
      <c r="AE151" s="77"/>
    </row>
    <row r="152" spans="1:31">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77"/>
      <c r="AE152" s="77"/>
    </row>
    <row r="153" spans="1:31">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77"/>
      <c r="AE153" s="77"/>
    </row>
    <row r="154" spans="1:31">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77"/>
      <c r="AE154" s="77"/>
    </row>
    <row r="155" spans="1:31">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77"/>
      <c r="AE155" s="77"/>
    </row>
    <row r="156" spans="1:31">
      <c r="A156" s="77"/>
      <c r="B156" s="77"/>
      <c r="C156" s="77"/>
      <c r="D156" s="77"/>
      <c r="E156" s="77"/>
      <c r="F156" s="77"/>
      <c r="G156" s="77"/>
      <c r="H156" s="77"/>
      <c r="I156" s="77"/>
      <c r="J156" s="77"/>
      <c r="K156" s="77"/>
      <c r="L156" s="77"/>
      <c r="M156" s="77"/>
      <c r="N156" s="77"/>
      <c r="O156" s="77"/>
      <c r="P156" s="77"/>
      <c r="Q156" s="77"/>
      <c r="R156" s="77"/>
      <c r="S156" s="77"/>
      <c r="T156" s="77"/>
      <c r="U156" s="77"/>
      <c r="V156" s="77"/>
      <c r="W156" s="77"/>
      <c r="X156" s="77"/>
      <c r="Y156" s="77"/>
      <c r="Z156" s="77"/>
      <c r="AA156" s="77"/>
      <c r="AB156" s="77"/>
      <c r="AC156" s="77"/>
      <c r="AD156" s="77"/>
      <c r="AE156" s="77"/>
    </row>
    <row r="157" spans="1:31">
      <c r="A157" s="77"/>
      <c r="B157" s="77"/>
      <c r="C157" s="77"/>
      <c r="D157" s="77"/>
      <c r="E157" s="77"/>
      <c r="F157" s="77"/>
      <c r="G157" s="77"/>
      <c r="H157" s="77"/>
      <c r="I157" s="77"/>
      <c r="J157" s="77"/>
      <c r="K157" s="77"/>
      <c r="L157" s="77"/>
      <c r="M157" s="77"/>
      <c r="N157" s="77"/>
      <c r="O157" s="77"/>
      <c r="P157" s="77"/>
      <c r="Q157" s="77"/>
      <c r="R157" s="77"/>
      <c r="S157" s="77"/>
      <c r="T157" s="77"/>
      <c r="U157" s="77"/>
      <c r="V157" s="77"/>
      <c r="W157" s="77"/>
      <c r="X157" s="77"/>
      <c r="Y157" s="77"/>
      <c r="Z157" s="77"/>
      <c r="AA157" s="77"/>
      <c r="AB157" s="77"/>
      <c r="AC157" s="77"/>
      <c r="AD157" s="77"/>
      <c r="AE157" s="77"/>
    </row>
    <row r="158" spans="1:31">
      <c r="A158" s="77"/>
      <c r="B158" s="77"/>
      <c r="C158" s="77"/>
      <c r="D158" s="77"/>
      <c r="E158" s="77"/>
      <c r="F158" s="77"/>
      <c r="G158" s="77"/>
      <c r="H158" s="77"/>
      <c r="I158" s="77"/>
      <c r="J158" s="77"/>
      <c r="K158" s="77"/>
      <c r="L158" s="77"/>
      <c r="M158" s="77"/>
      <c r="N158" s="77"/>
      <c r="O158" s="77"/>
      <c r="P158" s="77"/>
      <c r="Q158" s="77"/>
      <c r="R158" s="77"/>
      <c r="S158" s="77"/>
      <c r="T158" s="77"/>
      <c r="U158" s="77"/>
      <c r="V158" s="77"/>
      <c r="W158" s="77"/>
      <c r="X158" s="77"/>
      <c r="Y158" s="77"/>
      <c r="Z158" s="77"/>
      <c r="AA158" s="77"/>
      <c r="AB158" s="77"/>
      <c r="AC158" s="77"/>
      <c r="AD158" s="77"/>
      <c r="AE158" s="77"/>
    </row>
    <row r="159" spans="1:31">
      <c r="A159" s="77"/>
      <c r="B159" s="77"/>
      <c r="C159" s="77"/>
      <c r="D159" s="77"/>
      <c r="E159" s="77"/>
      <c r="F159" s="77"/>
      <c r="G159" s="77"/>
      <c r="H159" s="77"/>
      <c r="I159" s="77"/>
      <c r="J159" s="77"/>
      <c r="K159" s="77"/>
      <c r="L159" s="77"/>
      <c r="M159" s="77"/>
      <c r="N159" s="77"/>
      <c r="O159" s="77"/>
      <c r="P159" s="77"/>
      <c r="Q159" s="77"/>
      <c r="R159" s="77"/>
      <c r="S159" s="77"/>
      <c r="T159" s="77"/>
      <c r="U159" s="77"/>
      <c r="V159" s="77"/>
      <c r="W159" s="77"/>
      <c r="X159" s="77"/>
      <c r="Y159" s="77"/>
      <c r="Z159" s="77"/>
      <c r="AA159" s="77"/>
      <c r="AB159" s="77"/>
      <c r="AC159" s="77"/>
      <c r="AD159" s="77"/>
      <c r="AE159" s="77"/>
    </row>
    <row r="160" spans="1:31">
      <c r="A160" s="77"/>
      <c r="B160" s="77"/>
      <c r="C160" s="77"/>
      <c r="D160" s="77"/>
      <c r="E160" s="77"/>
      <c r="F160" s="77"/>
      <c r="G160" s="77"/>
      <c r="H160" s="77"/>
      <c r="I160" s="77"/>
      <c r="J160" s="77"/>
      <c r="K160" s="77"/>
      <c r="L160" s="77"/>
      <c r="M160" s="77"/>
      <c r="N160" s="77"/>
      <c r="O160" s="77"/>
      <c r="P160" s="77"/>
      <c r="Q160" s="77"/>
      <c r="R160" s="77"/>
      <c r="S160" s="77"/>
      <c r="T160" s="77"/>
      <c r="U160" s="77"/>
      <c r="V160" s="77"/>
      <c r="W160" s="77"/>
      <c r="X160" s="77"/>
      <c r="Y160" s="77"/>
      <c r="Z160" s="77"/>
      <c r="AA160" s="77"/>
      <c r="AB160" s="77"/>
      <c r="AC160" s="77"/>
      <c r="AD160" s="77"/>
      <c r="AE160" s="77"/>
    </row>
    <row r="161" spans="1:31">
      <c r="A161" s="77"/>
      <c r="B161" s="77"/>
      <c r="C161" s="77"/>
      <c r="D161" s="77"/>
      <c r="E161" s="77"/>
      <c r="F161" s="77"/>
      <c r="G161" s="77"/>
      <c r="H161" s="77"/>
      <c r="I161" s="77"/>
      <c r="J161" s="77"/>
      <c r="K161" s="77"/>
      <c r="L161" s="77"/>
      <c r="M161" s="77"/>
      <c r="N161" s="77"/>
      <c r="O161" s="77"/>
      <c r="P161" s="77"/>
      <c r="Q161" s="77"/>
      <c r="R161" s="77"/>
      <c r="S161" s="77"/>
      <c r="T161" s="77"/>
      <c r="U161" s="77"/>
      <c r="V161" s="77"/>
      <c r="W161" s="77"/>
      <c r="X161" s="77"/>
      <c r="Y161" s="77"/>
      <c r="Z161" s="77"/>
      <c r="AA161" s="77"/>
      <c r="AB161" s="77"/>
      <c r="AC161" s="77"/>
      <c r="AD161" s="77"/>
      <c r="AE161" s="77"/>
    </row>
    <row r="162" spans="1:31">
      <c r="A162" s="77"/>
      <c r="B162" s="77"/>
      <c r="C162" s="77"/>
      <c r="D162" s="77"/>
      <c r="E162" s="77"/>
      <c r="F162" s="77"/>
      <c r="G162" s="77"/>
      <c r="H162" s="77"/>
      <c r="I162" s="77"/>
      <c r="J162" s="77"/>
      <c r="K162" s="77"/>
      <c r="L162" s="77"/>
      <c r="M162" s="77"/>
      <c r="N162" s="77"/>
      <c r="O162" s="77"/>
      <c r="P162" s="77"/>
      <c r="Q162" s="77"/>
      <c r="R162" s="77"/>
      <c r="S162" s="77"/>
      <c r="T162" s="77"/>
      <c r="U162" s="77"/>
      <c r="V162" s="77"/>
      <c r="W162" s="77"/>
      <c r="X162" s="77"/>
      <c r="Y162" s="77"/>
      <c r="Z162" s="77"/>
      <c r="AA162" s="77"/>
      <c r="AB162" s="77"/>
      <c r="AC162" s="77"/>
      <c r="AD162" s="77"/>
      <c r="AE162" s="77"/>
    </row>
    <row r="163" spans="1:31">
      <c r="A163" s="77"/>
      <c r="B163" s="77"/>
      <c r="C163" s="77"/>
      <c r="D163" s="77"/>
      <c r="E163" s="77"/>
      <c r="F163" s="77"/>
      <c r="G163" s="77"/>
      <c r="H163" s="77"/>
      <c r="I163" s="77"/>
      <c r="J163" s="77"/>
      <c r="K163" s="77"/>
      <c r="L163" s="77"/>
      <c r="M163" s="77"/>
      <c r="N163" s="77"/>
      <c r="O163" s="77"/>
      <c r="P163" s="77"/>
      <c r="Q163" s="77"/>
      <c r="R163" s="77"/>
      <c r="S163" s="77"/>
      <c r="T163" s="77"/>
      <c r="U163" s="77"/>
      <c r="V163" s="77"/>
      <c r="W163" s="77"/>
      <c r="X163" s="77"/>
      <c r="Y163" s="77"/>
      <c r="Z163" s="77"/>
      <c r="AA163" s="77"/>
      <c r="AB163" s="77"/>
      <c r="AC163" s="77"/>
      <c r="AD163" s="77"/>
      <c r="AE163" s="77"/>
    </row>
    <row r="164" spans="1:31">
      <c r="A164" s="77"/>
      <c r="B164" s="77"/>
      <c r="C164" s="77"/>
      <c r="D164" s="77"/>
      <c r="E164" s="77"/>
      <c r="F164" s="77"/>
      <c r="G164" s="77"/>
      <c r="H164" s="77"/>
      <c r="I164" s="77"/>
      <c r="J164" s="77"/>
      <c r="K164" s="77"/>
      <c r="L164" s="77"/>
      <c r="M164" s="77"/>
      <c r="N164" s="77"/>
      <c r="O164" s="77"/>
      <c r="P164" s="77"/>
      <c r="Q164" s="77"/>
      <c r="R164" s="77"/>
      <c r="S164" s="77"/>
      <c r="T164" s="77"/>
      <c r="U164" s="77"/>
      <c r="V164" s="77"/>
      <c r="W164" s="77"/>
      <c r="X164" s="77"/>
      <c r="Y164" s="77"/>
      <c r="Z164" s="77"/>
      <c r="AA164" s="77"/>
      <c r="AB164" s="77"/>
      <c r="AC164" s="77"/>
      <c r="AD164" s="77"/>
      <c r="AE164" s="77"/>
    </row>
    <row r="165" spans="1:31">
      <c r="A165" s="77"/>
      <c r="B165" s="77"/>
      <c r="C165" s="77"/>
      <c r="D165" s="77"/>
      <c r="E165" s="77"/>
      <c r="F165" s="77"/>
      <c r="G165" s="77"/>
      <c r="H165" s="77"/>
      <c r="I165" s="77"/>
      <c r="J165" s="77"/>
      <c r="K165" s="77"/>
      <c r="L165" s="77"/>
      <c r="M165" s="77"/>
      <c r="N165" s="77"/>
      <c r="O165" s="77"/>
      <c r="P165" s="77"/>
      <c r="Q165" s="77"/>
      <c r="R165" s="77"/>
      <c r="S165" s="77"/>
      <c r="T165" s="77"/>
      <c r="U165" s="77"/>
      <c r="V165" s="77"/>
      <c r="W165" s="77"/>
      <c r="X165" s="77"/>
      <c r="Y165" s="77"/>
      <c r="Z165" s="77"/>
      <c r="AA165" s="77"/>
      <c r="AB165" s="77"/>
      <c r="AC165" s="77"/>
      <c r="AD165" s="77"/>
      <c r="AE165" s="77"/>
    </row>
    <row r="166" spans="1:31">
      <c r="A166" s="77"/>
      <c r="B166" s="77"/>
      <c r="C166" s="77"/>
      <c r="D166" s="77"/>
      <c r="E166" s="77"/>
      <c r="F166" s="77"/>
      <c r="G166" s="77"/>
      <c r="H166" s="77"/>
      <c r="I166" s="77"/>
      <c r="J166" s="77"/>
      <c r="K166" s="77"/>
      <c r="L166" s="77"/>
      <c r="M166" s="77"/>
      <c r="N166" s="77"/>
      <c r="O166" s="77"/>
      <c r="P166" s="77"/>
      <c r="Q166" s="77"/>
      <c r="R166" s="77"/>
      <c r="S166" s="77"/>
      <c r="T166" s="77"/>
      <c r="U166" s="77"/>
      <c r="V166" s="77"/>
      <c r="W166" s="77"/>
      <c r="X166" s="77"/>
      <c r="Y166" s="77"/>
      <c r="Z166" s="77"/>
      <c r="AA166" s="77"/>
      <c r="AB166" s="77"/>
      <c r="AC166" s="77"/>
      <c r="AD166" s="77"/>
      <c r="AE166" s="77"/>
    </row>
    <row r="167" spans="1:31">
      <c r="A167" s="77"/>
      <c r="B167" s="77"/>
      <c r="C167" s="77"/>
      <c r="D167" s="77"/>
      <c r="E167" s="77"/>
      <c r="F167" s="77"/>
      <c r="G167" s="77"/>
      <c r="H167" s="77"/>
      <c r="I167" s="77"/>
      <c r="J167" s="77"/>
      <c r="K167" s="77"/>
      <c r="L167" s="77"/>
      <c r="M167" s="77"/>
      <c r="N167" s="77"/>
      <c r="O167" s="77"/>
      <c r="P167" s="77"/>
      <c r="Q167" s="77"/>
      <c r="R167" s="77"/>
      <c r="S167" s="77"/>
      <c r="T167" s="77"/>
      <c r="U167" s="77"/>
      <c r="V167" s="77"/>
      <c r="W167" s="77"/>
      <c r="X167" s="77"/>
      <c r="Y167" s="77"/>
      <c r="Z167" s="77"/>
      <c r="AA167" s="77"/>
      <c r="AB167" s="77"/>
      <c r="AC167" s="77"/>
      <c r="AD167" s="77"/>
      <c r="AE167" s="77"/>
    </row>
    <row r="168" spans="1:31">
      <c r="A168" s="77"/>
      <c r="B168" s="77"/>
      <c r="C168" s="77"/>
      <c r="D168" s="77"/>
      <c r="E168" s="77"/>
      <c r="F168" s="77"/>
      <c r="G168" s="77"/>
      <c r="H168" s="77"/>
      <c r="I168" s="77"/>
      <c r="J168" s="77"/>
      <c r="K168" s="77"/>
      <c r="L168" s="77"/>
      <c r="M168" s="77"/>
      <c r="N168" s="77"/>
      <c r="O168" s="77"/>
      <c r="P168" s="77"/>
      <c r="Q168" s="77"/>
      <c r="R168" s="77"/>
      <c r="S168" s="77"/>
      <c r="T168" s="77"/>
      <c r="U168" s="77"/>
      <c r="V168" s="77"/>
      <c r="W168" s="77"/>
      <c r="X168" s="77"/>
      <c r="Y168" s="77"/>
      <c r="Z168" s="77"/>
      <c r="AA168" s="77"/>
      <c r="AB168" s="77"/>
      <c r="AC168" s="77"/>
      <c r="AD168" s="77"/>
      <c r="AE168" s="77"/>
    </row>
    <row r="169" spans="1:31">
      <c r="A169" s="77"/>
      <c r="B169" s="77"/>
      <c r="C169" s="77"/>
      <c r="D169" s="77"/>
      <c r="E169" s="77"/>
      <c r="F169" s="77"/>
      <c r="G169" s="77"/>
      <c r="H169" s="77"/>
      <c r="I169" s="77"/>
      <c r="J169" s="77"/>
      <c r="K169" s="77"/>
      <c r="L169" s="77"/>
      <c r="M169" s="77"/>
      <c r="N169" s="77"/>
      <c r="O169" s="77"/>
      <c r="P169" s="77"/>
      <c r="Q169" s="77"/>
      <c r="R169" s="77"/>
      <c r="S169" s="77"/>
      <c r="T169" s="77"/>
      <c r="U169" s="77"/>
      <c r="V169" s="77"/>
      <c r="W169" s="77"/>
      <c r="X169" s="77"/>
      <c r="Y169" s="77"/>
      <c r="Z169" s="77"/>
      <c r="AA169" s="77"/>
      <c r="AB169" s="77"/>
      <c r="AC169" s="77"/>
      <c r="AD169" s="77"/>
      <c r="AE169" s="77"/>
    </row>
    <row r="170" spans="1:31">
      <c r="A170" s="77"/>
      <c r="B170" s="77"/>
      <c r="C170" s="77"/>
      <c r="D170" s="77"/>
      <c r="E170" s="77"/>
      <c r="F170" s="77"/>
      <c r="G170" s="77"/>
      <c r="H170" s="77"/>
      <c r="I170" s="77"/>
      <c r="J170" s="77"/>
      <c r="K170" s="77"/>
      <c r="L170" s="77"/>
      <c r="M170" s="77"/>
      <c r="N170" s="77"/>
      <c r="O170" s="77"/>
      <c r="P170" s="77"/>
      <c r="Q170" s="77"/>
      <c r="R170" s="77"/>
      <c r="S170" s="77"/>
      <c r="T170" s="77"/>
      <c r="U170" s="77"/>
      <c r="V170" s="77"/>
      <c r="W170" s="77"/>
      <c r="X170" s="77"/>
      <c r="Y170" s="77"/>
      <c r="Z170" s="77"/>
      <c r="AA170" s="77"/>
      <c r="AB170" s="77"/>
      <c r="AC170" s="77"/>
      <c r="AD170" s="77"/>
      <c r="AE170" s="77"/>
    </row>
    <row r="171" spans="1:31">
      <c r="A171" s="77"/>
      <c r="B171" s="77"/>
      <c r="C171" s="77"/>
      <c r="D171" s="77"/>
      <c r="E171" s="77"/>
      <c r="F171" s="77"/>
      <c r="G171" s="77"/>
      <c r="H171" s="77"/>
      <c r="I171" s="77"/>
      <c r="J171" s="77"/>
      <c r="K171" s="77"/>
      <c r="L171" s="77"/>
      <c r="M171" s="77"/>
      <c r="N171" s="77"/>
      <c r="O171" s="77"/>
      <c r="P171" s="77"/>
      <c r="Q171" s="77"/>
      <c r="R171" s="77"/>
      <c r="S171" s="77"/>
      <c r="T171" s="77"/>
      <c r="U171" s="77"/>
      <c r="V171" s="77"/>
      <c r="W171" s="77"/>
      <c r="X171" s="77"/>
      <c r="Y171" s="77"/>
      <c r="Z171" s="77"/>
      <c r="AA171" s="77"/>
      <c r="AB171" s="77"/>
      <c r="AC171" s="77"/>
      <c r="AD171" s="77"/>
      <c r="AE171" s="77"/>
    </row>
    <row r="172" spans="1:31">
      <c r="A172" s="77"/>
      <c r="B172" s="77"/>
      <c r="C172" s="77"/>
      <c r="D172" s="77"/>
      <c r="E172" s="77"/>
      <c r="F172" s="77"/>
      <c r="G172" s="77"/>
      <c r="H172" s="77"/>
      <c r="I172" s="77"/>
      <c r="J172" s="77"/>
      <c r="K172" s="77"/>
      <c r="L172" s="77"/>
      <c r="M172" s="77"/>
      <c r="N172" s="77"/>
      <c r="O172" s="77"/>
      <c r="P172" s="77"/>
      <c r="Q172" s="77"/>
      <c r="R172" s="77"/>
      <c r="S172" s="77"/>
      <c r="T172" s="77"/>
      <c r="U172" s="77"/>
      <c r="V172" s="77"/>
      <c r="W172" s="77"/>
      <c r="X172" s="77"/>
      <c r="Y172" s="77"/>
      <c r="Z172" s="77"/>
      <c r="AA172" s="77"/>
      <c r="AB172" s="77"/>
      <c r="AC172" s="77"/>
      <c r="AD172" s="77"/>
      <c r="AE172" s="77"/>
    </row>
    <row r="173" spans="1:31">
      <c r="A173" s="77"/>
      <c r="B173" s="77"/>
      <c r="C173" s="77"/>
      <c r="D173" s="77"/>
      <c r="E173" s="77"/>
      <c r="F173" s="77"/>
      <c r="G173" s="77"/>
      <c r="H173" s="77"/>
      <c r="I173" s="77"/>
      <c r="J173" s="77"/>
      <c r="K173" s="77"/>
      <c r="L173" s="77"/>
      <c r="M173" s="77"/>
      <c r="N173" s="77"/>
      <c r="O173" s="77"/>
      <c r="P173" s="77"/>
      <c r="Q173" s="77"/>
      <c r="R173" s="77"/>
      <c r="S173" s="77"/>
      <c r="T173" s="77"/>
      <c r="U173" s="77"/>
      <c r="V173" s="77"/>
      <c r="W173" s="77"/>
      <c r="X173" s="77"/>
      <c r="Y173" s="77"/>
      <c r="Z173" s="77"/>
      <c r="AA173" s="77"/>
      <c r="AB173" s="77"/>
      <c r="AC173" s="77"/>
      <c r="AD173" s="77"/>
      <c r="AE173" s="77"/>
    </row>
    <row r="174" spans="1:31">
      <c r="A174" s="77"/>
      <c r="B174" s="77"/>
      <c r="C174" s="77"/>
      <c r="D174" s="77"/>
      <c r="E174" s="77"/>
      <c r="F174" s="77"/>
      <c r="G174" s="77"/>
      <c r="H174" s="77"/>
      <c r="I174" s="77"/>
      <c r="J174" s="77"/>
      <c r="K174" s="77"/>
      <c r="L174" s="77"/>
      <c r="M174" s="77"/>
      <c r="N174" s="77"/>
      <c r="O174" s="77"/>
      <c r="P174" s="77"/>
      <c r="Q174" s="77"/>
      <c r="R174" s="77"/>
      <c r="S174" s="77"/>
      <c r="T174" s="77"/>
      <c r="U174" s="77"/>
      <c r="V174" s="77"/>
      <c r="W174" s="77"/>
      <c r="X174" s="77"/>
      <c r="Y174" s="77"/>
      <c r="Z174" s="77"/>
      <c r="AA174" s="77"/>
      <c r="AB174" s="77"/>
      <c r="AC174" s="77"/>
      <c r="AD174" s="77"/>
      <c r="AE174" s="77"/>
    </row>
    <row r="175" spans="1:31">
      <c r="A175" s="77"/>
      <c r="B175" s="77"/>
      <c r="C175" s="77"/>
      <c r="D175" s="77"/>
      <c r="E175" s="77"/>
      <c r="F175" s="77"/>
      <c r="G175" s="77"/>
      <c r="H175" s="77"/>
      <c r="I175" s="77"/>
      <c r="J175" s="77"/>
      <c r="K175" s="77"/>
      <c r="L175" s="77"/>
      <c r="M175" s="77"/>
      <c r="N175" s="77"/>
      <c r="O175" s="77"/>
      <c r="P175" s="77"/>
      <c r="Q175" s="77"/>
      <c r="R175" s="77"/>
      <c r="S175" s="77"/>
      <c r="T175" s="77"/>
      <c r="U175" s="77"/>
      <c r="V175" s="77"/>
      <c r="W175" s="77"/>
      <c r="X175" s="77"/>
      <c r="Y175" s="77"/>
      <c r="Z175" s="77"/>
      <c r="AA175" s="77"/>
      <c r="AB175" s="77"/>
      <c r="AC175" s="77"/>
      <c r="AD175" s="77"/>
      <c r="AE175" s="77"/>
    </row>
    <row r="176" spans="1:31">
      <c r="A176" s="77"/>
      <c r="B176" s="77"/>
      <c r="C176" s="77"/>
      <c r="D176" s="77"/>
      <c r="E176" s="77"/>
      <c r="F176" s="77"/>
      <c r="G176" s="77"/>
      <c r="H176" s="77"/>
      <c r="I176" s="77"/>
      <c r="J176" s="77"/>
      <c r="K176" s="77"/>
      <c r="L176" s="77"/>
      <c r="M176" s="77"/>
      <c r="N176" s="77"/>
      <c r="O176" s="77"/>
      <c r="P176" s="77"/>
      <c r="Q176" s="77"/>
      <c r="R176" s="77"/>
      <c r="S176" s="77"/>
      <c r="T176" s="77"/>
      <c r="U176" s="77"/>
      <c r="V176" s="77"/>
      <c r="W176" s="77"/>
      <c r="X176" s="77"/>
      <c r="Y176" s="77"/>
      <c r="Z176" s="77"/>
      <c r="AA176" s="77"/>
      <c r="AB176" s="77"/>
      <c r="AC176" s="77"/>
      <c r="AD176" s="77"/>
      <c r="AE176" s="77"/>
    </row>
    <row r="177" spans="1:31">
      <c r="A177" s="77"/>
      <c r="B177" s="77"/>
      <c r="C177" s="77"/>
      <c r="D177" s="77"/>
      <c r="E177" s="77"/>
      <c r="F177" s="77"/>
      <c r="G177" s="77"/>
      <c r="H177" s="77"/>
      <c r="I177" s="77"/>
      <c r="J177" s="77"/>
      <c r="K177" s="77"/>
      <c r="L177" s="77"/>
      <c r="M177" s="77"/>
      <c r="N177" s="77"/>
      <c r="O177" s="77"/>
      <c r="P177" s="77"/>
      <c r="Q177" s="77"/>
      <c r="R177" s="77"/>
      <c r="S177" s="77"/>
      <c r="T177" s="77"/>
      <c r="U177" s="77"/>
      <c r="V177" s="77"/>
      <c r="W177" s="77"/>
      <c r="X177" s="77"/>
      <c r="Y177" s="77"/>
      <c r="Z177" s="77"/>
      <c r="AA177" s="77"/>
      <c r="AB177" s="77"/>
      <c r="AC177" s="77"/>
      <c r="AD177" s="77"/>
      <c r="AE177" s="77"/>
    </row>
    <row r="178" spans="1:31">
      <c r="A178" s="77"/>
      <c r="B178" s="77"/>
      <c r="C178" s="77"/>
      <c r="D178" s="77"/>
      <c r="E178" s="77"/>
      <c r="F178" s="77"/>
      <c r="G178" s="77"/>
      <c r="H178" s="77"/>
      <c r="I178" s="77"/>
      <c r="J178" s="77"/>
      <c r="K178" s="77"/>
      <c r="L178" s="77"/>
      <c r="M178" s="77"/>
      <c r="N178" s="77"/>
      <c r="O178" s="77"/>
      <c r="P178" s="77"/>
      <c r="Q178" s="77"/>
      <c r="R178" s="77"/>
      <c r="S178" s="77"/>
      <c r="T178" s="77"/>
      <c r="U178" s="77"/>
      <c r="V178" s="77"/>
      <c r="W178" s="77"/>
      <c r="X178" s="77"/>
      <c r="Y178" s="77"/>
      <c r="Z178" s="77"/>
      <c r="AA178" s="77"/>
      <c r="AB178" s="77"/>
      <c r="AC178" s="77"/>
      <c r="AD178" s="77"/>
      <c r="AE178" s="77"/>
    </row>
    <row r="179" spans="1:31">
      <c r="A179" s="77"/>
      <c r="B179" s="77"/>
      <c r="C179" s="77"/>
      <c r="D179" s="77"/>
      <c r="E179" s="77"/>
      <c r="F179" s="77"/>
      <c r="G179" s="77"/>
      <c r="H179" s="77"/>
      <c r="I179" s="77"/>
      <c r="J179" s="77"/>
      <c r="K179" s="77"/>
      <c r="L179" s="77"/>
      <c r="M179" s="77"/>
      <c r="N179" s="77"/>
      <c r="O179" s="77"/>
      <c r="P179" s="77"/>
      <c r="Q179" s="77"/>
      <c r="R179" s="77"/>
      <c r="S179" s="77"/>
      <c r="T179" s="77"/>
      <c r="U179" s="77"/>
      <c r="V179" s="77"/>
      <c r="W179" s="77"/>
      <c r="X179" s="77"/>
      <c r="Y179" s="77"/>
      <c r="Z179" s="77"/>
      <c r="AA179" s="77"/>
      <c r="AB179" s="77"/>
      <c r="AC179" s="77"/>
      <c r="AD179" s="77"/>
      <c r="AE179" s="77"/>
    </row>
    <row r="180" spans="1:31">
      <c r="A180" s="77"/>
      <c r="B180" s="77"/>
      <c r="C180" s="77"/>
      <c r="D180" s="77"/>
      <c r="E180" s="77"/>
      <c r="F180" s="77"/>
      <c r="G180" s="77"/>
      <c r="H180" s="77"/>
      <c r="I180" s="77"/>
      <c r="J180" s="77"/>
      <c r="K180" s="77"/>
      <c r="L180" s="77"/>
      <c r="M180" s="77"/>
      <c r="N180" s="77"/>
      <c r="O180" s="77"/>
      <c r="P180" s="77"/>
      <c r="Q180" s="77"/>
      <c r="R180" s="77"/>
      <c r="S180" s="77"/>
      <c r="T180" s="77"/>
      <c r="U180" s="77"/>
      <c r="V180" s="77"/>
      <c r="W180" s="77"/>
      <c r="X180" s="77"/>
      <c r="Y180" s="77"/>
      <c r="Z180" s="77"/>
      <c r="AA180" s="77"/>
      <c r="AB180" s="77"/>
      <c r="AC180" s="77"/>
      <c r="AD180" s="77"/>
      <c r="AE180" s="77"/>
    </row>
    <row r="181" spans="1:31">
      <c r="A181" s="77"/>
      <c r="B181" s="77"/>
      <c r="C181" s="77"/>
      <c r="D181" s="77"/>
      <c r="E181" s="77"/>
      <c r="F181" s="77"/>
      <c r="G181" s="77"/>
      <c r="H181" s="77"/>
      <c r="I181" s="77"/>
      <c r="J181" s="77"/>
      <c r="K181" s="77"/>
      <c r="L181" s="77"/>
      <c r="M181" s="77"/>
      <c r="N181" s="77"/>
      <c r="O181" s="77"/>
      <c r="P181" s="77"/>
      <c r="Q181" s="77"/>
      <c r="R181" s="77"/>
      <c r="S181" s="77"/>
      <c r="T181" s="77"/>
      <c r="U181" s="77"/>
      <c r="V181" s="77"/>
      <c r="W181" s="77"/>
      <c r="X181" s="77"/>
      <c r="Y181" s="77"/>
      <c r="Z181" s="77"/>
      <c r="AA181" s="77"/>
      <c r="AB181" s="77"/>
      <c r="AC181" s="77"/>
      <c r="AD181" s="77"/>
      <c r="AE181" s="77"/>
    </row>
    <row r="182" spans="1:31">
      <c r="A182" s="77"/>
      <c r="B182" s="77"/>
      <c r="C182" s="77"/>
      <c r="D182" s="77"/>
      <c r="E182" s="77"/>
      <c r="F182" s="77"/>
      <c r="G182" s="77"/>
      <c r="H182" s="77"/>
      <c r="I182" s="77"/>
      <c r="J182" s="77"/>
      <c r="K182" s="77"/>
      <c r="L182" s="77"/>
      <c r="M182" s="77"/>
      <c r="N182" s="77"/>
      <c r="O182" s="77"/>
      <c r="P182" s="77"/>
      <c r="Q182" s="77"/>
      <c r="R182" s="77"/>
      <c r="S182" s="77"/>
      <c r="T182" s="77"/>
      <c r="U182" s="77"/>
      <c r="V182" s="77"/>
      <c r="W182" s="77"/>
      <c r="X182" s="77"/>
      <c r="Y182" s="77"/>
      <c r="Z182" s="77"/>
      <c r="AA182" s="77"/>
      <c r="AB182" s="77"/>
      <c r="AC182" s="77"/>
      <c r="AD182" s="77"/>
      <c r="AE182" s="77"/>
    </row>
    <row r="183" spans="1:31">
      <c r="A183" s="77"/>
      <c r="B183" s="77"/>
      <c r="C183" s="77"/>
      <c r="D183" s="77"/>
      <c r="E183" s="77"/>
      <c r="F183" s="77"/>
      <c r="G183" s="77"/>
      <c r="H183" s="77"/>
      <c r="I183" s="77"/>
      <c r="J183" s="77"/>
      <c r="K183" s="77"/>
      <c r="L183" s="77"/>
      <c r="M183" s="77"/>
      <c r="N183" s="77"/>
      <c r="O183" s="77"/>
      <c r="P183" s="77"/>
      <c r="Q183" s="77"/>
      <c r="R183" s="77"/>
      <c r="S183" s="77"/>
      <c r="T183" s="77"/>
      <c r="U183" s="77"/>
      <c r="V183" s="77"/>
      <c r="W183" s="77"/>
      <c r="X183" s="77"/>
      <c r="Y183" s="77"/>
      <c r="Z183" s="77"/>
      <c r="AA183" s="77"/>
      <c r="AB183" s="77"/>
      <c r="AC183" s="77"/>
      <c r="AD183" s="77"/>
      <c r="AE183" s="77"/>
    </row>
    <row r="184" spans="1:31">
      <c r="A184" s="77"/>
      <c r="B184" s="77"/>
      <c r="C184" s="77"/>
      <c r="D184" s="77"/>
      <c r="E184" s="77"/>
      <c r="F184" s="77"/>
      <c r="G184" s="77"/>
      <c r="H184" s="77"/>
      <c r="I184" s="77"/>
      <c r="J184" s="77"/>
      <c r="K184" s="77"/>
      <c r="L184" s="77"/>
      <c r="M184" s="77"/>
      <c r="N184" s="77"/>
      <c r="O184" s="77"/>
      <c r="P184" s="77"/>
      <c r="Q184" s="77"/>
      <c r="R184" s="77"/>
      <c r="S184" s="77"/>
      <c r="T184" s="77"/>
      <c r="U184" s="77"/>
      <c r="V184" s="77"/>
      <c r="W184" s="77"/>
      <c r="X184" s="77"/>
      <c r="Y184" s="77"/>
      <c r="Z184" s="77"/>
      <c r="AA184" s="77"/>
      <c r="AB184" s="77"/>
      <c r="AC184" s="77"/>
      <c r="AD184" s="77"/>
      <c r="AE184" s="77"/>
    </row>
    <row r="185" spans="1:31">
      <c r="A185" s="77"/>
      <c r="B185" s="77"/>
      <c r="C185" s="77"/>
      <c r="D185" s="77"/>
      <c r="E185" s="77"/>
      <c r="F185" s="77"/>
      <c r="G185" s="77"/>
      <c r="H185" s="77"/>
      <c r="I185" s="77"/>
      <c r="J185" s="77"/>
      <c r="K185" s="77"/>
      <c r="L185" s="77"/>
      <c r="M185" s="77"/>
      <c r="N185" s="77"/>
      <c r="O185" s="77"/>
      <c r="P185" s="77"/>
      <c r="Q185" s="77"/>
      <c r="R185" s="77"/>
      <c r="S185" s="77"/>
      <c r="T185" s="77"/>
      <c r="U185" s="77"/>
      <c r="V185" s="77"/>
      <c r="W185" s="77"/>
      <c r="X185" s="77"/>
      <c r="Y185" s="77"/>
      <c r="Z185" s="77"/>
      <c r="AA185" s="77"/>
      <c r="AB185" s="77"/>
      <c r="AC185" s="77"/>
      <c r="AD185" s="77"/>
      <c r="AE185" s="77"/>
    </row>
    <row r="186" spans="1:31">
      <c r="A186" s="77"/>
      <c r="B186" s="77"/>
      <c r="C186" s="77"/>
      <c r="D186" s="77"/>
      <c r="E186" s="77"/>
      <c r="F186" s="77"/>
      <c r="G186" s="77"/>
      <c r="H186" s="77"/>
      <c r="I186" s="77"/>
      <c r="J186" s="77"/>
      <c r="K186" s="77"/>
      <c r="L186" s="77"/>
      <c r="M186" s="77"/>
      <c r="N186" s="77"/>
      <c r="O186" s="77"/>
      <c r="P186" s="77"/>
      <c r="Q186" s="77"/>
      <c r="R186" s="77"/>
      <c r="S186" s="77"/>
      <c r="T186" s="77"/>
      <c r="U186" s="77"/>
      <c r="V186" s="77"/>
      <c r="W186" s="77"/>
      <c r="X186" s="77"/>
      <c r="Y186" s="77"/>
      <c r="Z186" s="77"/>
      <c r="AA186" s="77"/>
      <c r="AB186" s="77"/>
      <c r="AC186" s="77"/>
      <c r="AD186" s="77"/>
      <c r="AE186" s="77"/>
    </row>
    <row r="187" spans="1:31">
      <c r="A187" s="77"/>
      <c r="B187" s="77"/>
      <c r="C187" s="77"/>
      <c r="D187" s="77"/>
      <c r="E187" s="77"/>
      <c r="F187" s="77"/>
      <c r="G187" s="77"/>
      <c r="H187" s="77"/>
      <c r="I187" s="77"/>
      <c r="J187" s="77"/>
      <c r="K187" s="77"/>
      <c r="L187" s="77"/>
      <c r="M187" s="77"/>
      <c r="N187" s="77"/>
      <c r="O187" s="77"/>
      <c r="P187" s="77"/>
      <c r="Q187" s="77"/>
      <c r="R187" s="77"/>
      <c r="S187" s="77"/>
      <c r="T187" s="77"/>
      <c r="U187" s="77"/>
      <c r="V187" s="77"/>
      <c r="W187" s="77"/>
      <c r="X187" s="77"/>
      <c r="Y187" s="77"/>
      <c r="Z187" s="77"/>
      <c r="AA187" s="77"/>
      <c r="AB187" s="77"/>
      <c r="AC187" s="77"/>
      <c r="AD187" s="77"/>
      <c r="AE187" s="77"/>
    </row>
    <row r="188" spans="1:31">
      <c r="A188" s="77"/>
      <c r="B188" s="77"/>
      <c r="C188" s="77"/>
      <c r="D188" s="77"/>
      <c r="E188" s="77"/>
      <c r="F188" s="77"/>
      <c r="G188" s="77"/>
      <c r="H188" s="77"/>
      <c r="I188" s="77"/>
      <c r="J188" s="77"/>
      <c r="K188" s="77"/>
      <c r="L188" s="77"/>
      <c r="M188" s="77"/>
      <c r="N188" s="77"/>
      <c r="O188" s="77"/>
      <c r="P188" s="77"/>
      <c r="Q188" s="77"/>
      <c r="R188" s="77"/>
      <c r="S188" s="77"/>
      <c r="T188" s="77"/>
      <c r="U188" s="77"/>
      <c r="V188" s="77"/>
      <c r="W188" s="77"/>
      <c r="X188" s="77"/>
      <c r="Y188" s="77"/>
      <c r="Z188" s="77"/>
      <c r="AA188" s="77"/>
      <c r="AB188" s="77"/>
      <c r="AC188" s="77"/>
      <c r="AD188" s="77"/>
      <c r="AE188" s="77"/>
    </row>
    <row r="189" spans="1:31">
      <c r="A189" s="77"/>
      <c r="B189" s="77"/>
      <c r="C189" s="77"/>
      <c r="D189" s="77"/>
      <c r="E189" s="77"/>
      <c r="F189" s="77"/>
      <c r="G189" s="77"/>
      <c r="H189" s="77"/>
      <c r="I189" s="77"/>
      <c r="J189" s="77"/>
      <c r="K189" s="77"/>
      <c r="L189" s="77"/>
      <c r="M189" s="77"/>
      <c r="N189" s="77"/>
      <c r="O189" s="77"/>
      <c r="P189" s="77"/>
      <c r="Q189" s="77"/>
      <c r="R189" s="77"/>
      <c r="S189" s="77"/>
      <c r="T189" s="77"/>
      <c r="U189" s="77"/>
      <c r="V189" s="77"/>
      <c r="W189" s="77"/>
      <c r="X189" s="77"/>
      <c r="Y189" s="77"/>
      <c r="Z189" s="77"/>
      <c r="AA189" s="77"/>
      <c r="AB189" s="77"/>
      <c r="AC189" s="77"/>
      <c r="AD189" s="77"/>
      <c r="AE189" s="77"/>
    </row>
    <row r="190" spans="1:31">
      <c r="A190" s="77"/>
      <c r="B190" s="77"/>
      <c r="C190" s="77"/>
      <c r="D190" s="77"/>
      <c r="E190" s="77"/>
      <c r="F190" s="77"/>
      <c r="G190" s="77"/>
      <c r="H190" s="77"/>
      <c r="I190" s="77"/>
      <c r="J190" s="77"/>
      <c r="K190" s="77"/>
      <c r="L190" s="77"/>
      <c r="M190" s="77"/>
      <c r="N190" s="77"/>
      <c r="O190" s="77"/>
      <c r="P190" s="77"/>
      <c r="Q190" s="77"/>
      <c r="R190" s="77"/>
      <c r="S190" s="77"/>
      <c r="T190" s="77"/>
      <c r="U190" s="77"/>
      <c r="V190" s="77"/>
      <c r="W190" s="77"/>
      <c r="X190" s="77"/>
      <c r="Y190" s="77"/>
      <c r="Z190" s="77"/>
      <c r="AA190" s="77"/>
      <c r="AB190" s="77"/>
      <c r="AC190" s="77"/>
      <c r="AD190" s="77"/>
      <c r="AE190" s="77"/>
    </row>
    <row r="191" spans="1:31">
      <c r="A191" s="77"/>
      <c r="B191" s="77"/>
      <c r="C191" s="77"/>
      <c r="D191" s="77"/>
      <c r="E191" s="77"/>
      <c r="F191" s="77"/>
      <c r="G191" s="77"/>
      <c r="H191" s="77"/>
      <c r="I191" s="77"/>
      <c r="J191" s="77"/>
      <c r="K191" s="77"/>
      <c r="L191" s="77"/>
      <c r="M191" s="77"/>
      <c r="N191" s="77"/>
      <c r="O191" s="77"/>
      <c r="P191" s="77"/>
      <c r="Q191" s="77"/>
      <c r="R191" s="77"/>
      <c r="S191" s="77"/>
      <c r="T191" s="77"/>
      <c r="U191" s="77"/>
      <c r="V191" s="77"/>
      <c r="W191" s="77"/>
      <c r="X191" s="77"/>
      <c r="Y191" s="77"/>
      <c r="Z191" s="77"/>
      <c r="AA191" s="77"/>
      <c r="AB191" s="77"/>
      <c r="AC191" s="77"/>
      <c r="AD191" s="77"/>
      <c r="AE191" s="77"/>
    </row>
    <row r="192" spans="1:31">
      <c r="A192" s="77"/>
      <c r="B192" s="77"/>
      <c r="C192" s="77"/>
      <c r="D192" s="77"/>
      <c r="E192" s="77"/>
      <c r="F192" s="77"/>
      <c r="G192" s="77"/>
      <c r="H192" s="77"/>
      <c r="I192" s="77"/>
      <c r="J192" s="77"/>
      <c r="K192" s="77"/>
      <c r="L192" s="77"/>
      <c r="M192" s="77"/>
      <c r="N192" s="77"/>
      <c r="O192" s="77"/>
      <c r="P192" s="77"/>
      <c r="Q192" s="77"/>
      <c r="R192" s="77"/>
      <c r="S192" s="77"/>
      <c r="T192" s="77"/>
      <c r="U192" s="77"/>
      <c r="V192" s="77"/>
      <c r="W192" s="77"/>
      <c r="X192" s="77"/>
      <c r="Y192" s="77"/>
      <c r="Z192" s="77"/>
      <c r="AA192" s="77"/>
      <c r="AB192" s="77"/>
      <c r="AC192" s="77"/>
      <c r="AD192" s="77"/>
      <c r="AE192" s="77"/>
    </row>
    <row r="193" spans="1:31">
      <c r="A193" s="77"/>
      <c r="B193" s="77"/>
      <c r="C193" s="77"/>
      <c r="D193" s="77"/>
      <c r="E193" s="77"/>
      <c r="F193" s="77"/>
      <c r="G193" s="77"/>
      <c r="H193" s="77"/>
      <c r="I193" s="77"/>
      <c r="J193" s="77"/>
      <c r="K193" s="77"/>
      <c r="L193" s="77"/>
      <c r="M193" s="77"/>
      <c r="N193" s="77"/>
      <c r="O193" s="77"/>
      <c r="P193" s="77"/>
      <c r="Q193" s="77"/>
      <c r="R193" s="77"/>
      <c r="S193" s="77"/>
      <c r="T193" s="77"/>
      <c r="U193" s="77"/>
      <c r="V193" s="77"/>
      <c r="W193" s="77"/>
      <c r="X193" s="77"/>
      <c r="Y193" s="77"/>
      <c r="Z193" s="77"/>
      <c r="AA193" s="77"/>
      <c r="AB193" s="77"/>
      <c r="AC193" s="77"/>
      <c r="AD193" s="77"/>
      <c r="AE193" s="77"/>
    </row>
    <row r="194" spans="1:31">
      <c r="A194" s="77"/>
      <c r="B194" s="77"/>
      <c r="C194" s="77"/>
      <c r="D194" s="77"/>
      <c r="E194" s="77"/>
      <c r="F194" s="77"/>
      <c r="G194" s="77"/>
      <c r="H194" s="77"/>
      <c r="I194" s="77"/>
      <c r="J194" s="77"/>
      <c r="K194" s="77"/>
      <c r="L194" s="77"/>
      <c r="M194" s="77"/>
      <c r="N194" s="77"/>
      <c r="O194" s="77"/>
      <c r="P194" s="77"/>
      <c r="Q194" s="77"/>
      <c r="R194" s="77"/>
      <c r="S194" s="77"/>
      <c r="T194" s="77"/>
      <c r="U194" s="77"/>
      <c r="V194" s="77"/>
      <c r="W194" s="77"/>
      <c r="X194" s="77"/>
      <c r="Y194" s="77"/>
      <c r="Z194" s="77"/>
      <c r="AA194" s="77"/>
      <c r="AB194" s="77"/>
      <c r="AC194" s="77"/>
      <c r="AD194" s="77"/>
      <c r="AE194" s="77"/>
    </row>
    <row r="195" spans="1:31">
      <c r="A195" s="77"/>
      <c r="B195" s="77"/>
      <c r="C195" s="77"/>
      <c r="D195" s="77"/>
      <c r="E195" s="77"/>
      <c r="F195" s="77"/>
      <c r="G195" s="77"/>
      <c r="H195" s="77"/>
      <c r="I195" s="77"/>
      <c r="J195" s="77"/>
      <c r="K195" s="77"/>
      <c r="L195" s="77"/>
      <c r="M195" s="77"/>
      <c r="N195" s="77"/>
      <c r="O195" s="77"/>
      <c r="P195" s="77"/>
      <c r="Q195" s="77"/>
      <c r="R195" s="77"/>
      <c r="S195" s="77"/>
      <c r="T195" s="77"/>
      <c r="U195" s="77"/>
      <c r="V195" s="77"/>
      <c r="W195" s="77"/>
      <c r="X195" s="77"/>
      <c r="Y195" s="77"/>
      <c r="Z195" s="77"/>
      <c r="AA195" s="77"/>
      <c r="AB195" s="77"/>
      <c r="AC195" s="77"/>
      <c r="AD195" s="77"/>
      <c r="AE195" s="77"/>
    </row>
    <row r="196" spans="1:31">
      <c r="A196" s="77"/>
      <c r="B196" s="77"/>
      <c r="C196" s="77"/>
      <c r="D196" s="77"/>
      <c r="E196" s="77"/>
      <c r="F196" s="77"/>
      <c r="G196" s="77"/>
      <c r="H196" s="77"/>
      <c r="I196" s="77"/>
      <c r="J196" s="77"/>
      <c r="K196" s="77"/>
      <c r="L196" s="77"/>
      <c r="M196" s="77"/>
      <c r="N196" s="77"/>
      <c r="O196" s="77"/>
      <c r="P196" s="77"/>
      <c r="Q196" s="77"/>
      <c r="R196" s="77"/>
      <c r="S196" s="77"/>
      <c r="T196" s="77"/>
      <c r="U196" s="77"/>
      <c r="V196" s="77"/>
      <c r="W196" s="77"/>
      <c r="X196" s="77"/>
      <c r="Y196" s="77"/>
      <c r="Z196" s="77"/>
      <c r="AA196" s="77"/>
      <c r="AB196" s="77"/>
      <c r="AC196" s="77"/>
      <c r="AD196" s="77"/>
      <c r="AE196" s="77"/>
    </row>
    <row r="197" spans="1:31">
      <c r="A197" s="77"/>
      <c r="B197" s="77"/>
      <c r="C197" s="77"/>
      <c r="D197" s="77"/>
      <c r="E197" s="77"/>
      <c r="F197" s="77"/>
      <c r="G197" s="77"/>
      <c r="H197" s="77"/>
      <c r="I197" s="77"/>
      <c r="J197" s="77"/>
      <c r="K197" s="77"/>
      <c r="L197" s="77"/>
      <c r="M197" s="77"/>
      <c r="N197" s="77"/>
      <c r="O197" s="77"/>
      <c r="P197" s="77"/>
      <c r="Q197" s="77"/>
      <c r="R197" s="77"/>
      <c r="S197" s="77"/>
      <c r="T197" s="77"/>
      <c r="U197" s="77"/>
      <c r="V197" s="77"/>
      <c r="W197" s="77"/>
      <c r="X197" s="77"/>
      <c r="Y197" s="77"/>
      <c r="Z197" s="77"/>
      <c r="AA197" s="77"/>
      <c r="AB197" s="77"/>
      <c r="AC197" s="77"/>
      <c r="AD197" s="77"/>
      <c r="AE197" s="77"/>
    </row>
    <row r="198" spans="1:31">
      <c r="A198" s="77"/>
      <c r="B198" s="77"/>
      <c r="C198" s="77"/>
      <c r="D198" s="77"/>
      <c r="E198" s="77"/>
      <c r="F198" s="77"/>
      <c r="G198" s="77"/>
      <c r="H198" s="77"/>
      <c r="I198" s="77"/>
      <c r="J198" s="77"/>
      <c r="K198" s="77"/>
      <c r="L198" s="77"/>
      <c r="M198" s="77"/>
      <c r="N198" s="77"/>
      <c r="O198" s="77"/>
      <c r="P198" s="77"/>
      <c r="Q198" s="77"/>
      <c r="R198" s="77"/>
      <c r="S198" s="77"/>
      <c r="T198" s="77"/>
      <c r="U198" s="77"/>
      <c r="V198" s="77"/>
      <c r="W198" s="77"/>
      <c r="X198" s="77"/>
      <c r="Y198" s="77"/>
      <c r="Z198" s="77"/>
      <c r="AA198" s="77"/>
      <c r="AB198" s="77"/>
      <c r="AC198" s="77"/>
      <c r="AD198" s="77"/>
      <c r="AE198" s="77"/>
    </row>
    <row r="199" spans="1:31">
      <c r="A199" s="77"/>
      <c r="B199" s="77"/>
      <c r="C199" s="77"/>
      <c r="D199" s="77"/>
      <c r="E199" s="77"/>
      <c r="F199" s="77"/>
      <c r="G199" s="77"/>
      <c r="H199" s="77"/>
      <c r="I199" s="77"/>
      <c r="J199" s="77"/>
      <c r="K199" s="77"/>
      <c r="L199" s="77"/>
      <c r="M199" s="77"/>
      <c r="N199" s="77"/>
      <c r="O199" s="77"/>
      <c r="P199" s="77"/>
      <c r="Q199" s="77"/>
      <c r="R199" s="77"/>
      <c r="S199" s="77"/>
      <c r="T199" s="77"/>
      <c r="U199" s="77"/>
      <c r="V199" s="77"/>
      <c r="W199" s="77"/>
      <c r="X199" s="77"/>
      <c r="Y199" s="77"/>
      <c r="Z199" s="77"/>
      <c r="AA199" s="77"/>
      <c r="AB199" s="77"/>
      <c r="AC199" s="77"/>
      <c r="AD199" s="77"/>
      <c r="AE199" s="77"/>
    </row>
    <row r="200" spans="1:31">
      <c r="A200" s="77"/>
      <c r="B200" s="77"/>
      <c r="C200" s="77"/>
      <c r="D200" s="77"/>
      <c r="E200" s="77"/>
      <c r="F200" s="77"/>
      <c r="G200" s="77"/>
      <c r="H200" s="77"/>
      <c r="I200" s="77"/>
      <c r="J200" s="77"/>
      <c r="K200" s="77"/>
      <c r="L200" s="77"/>
      <c r="M200" s="77"/>
      <c r="N200" s="77"/>
      <c r="O200" s="77"/>
      <c r="P200" s="77"/>
      <c r="Q200" s="77"/>
      <c r="R200" s="77"/>
      <c r="S200" s="77"/>
      <c r="T200" s="77"/>
      <c r="U200" s="77"/>
      <c r="V200" s="77"/>
      <c r="W200" s="77"/>
      <c r="X200" s="77"/>
      <c r="Y200" s="77"/>
      <c r="Z200" s="77"/>
      <c r="AA200" s="77"/>
      <c r="AB200" s="77"/>
      <c r="AC200" s="77"/>
      <c r="AD200" s="77"/>
      <c r="AE200" s="77"/>
    </row>
    <row r="201" spans="1:31">
      <c r="A201" s="77"/>
      <c r="B201" s="77"/>
      <c r="C201" s="77"/>
      <c r="D201" s="77"/>
      <c r="E201" s="77"/>
      <c r="F201" s="77"/>
      <c r="G201" s="77"/>
      <c r="H201" s="77"/>
      <c r="I201" s="77"/>
      <c r="J201" s="77"/>
      <c r="K201" s="77"/>
      <c r="L201" s="77"/>
      <c r="M201" s="77"/>
      <c r="N201" s="77"/>
      <c r="O201" s="77"/>
      <c r="P201" s="77"/>
      <c r="Q201" s="77"/>
      <c r="R201" s="77"/>
      <c r="S201" s="77"/>
      <c r="T201" s="77"/>
      <c r="U201" s="77"/>
      <c r="V201" s="77"/>
      <c r="W201" s="77"/>
      <c r="X201" s="77"/>
      <c r="Y201" s="77"/>
      <c r="Z201" s="77"/>
      <c r="AA201" s="77"/>
      <c r="AB201" s="77"/>
      <c r="AC201" s="77"/>
      <c r="AD201" s="77"/>
      <c r="AE201" s="77"/>
    </row>
    <row r="202" spans="1:31">
      <c r="A202" s="77"/>
      <c r="B202" s="77"/>
      <c r="C202" s="77"/>
      <c r="D202" s="77"/>
      <c r="E202" s="77"/>
      <c r="F202" s="77"/>
      <c r="G202" s="77"/>
      <c r="H202" s="77"/>
      <c r="I202" s="77"/>
      <c r="J202" s="77"/>
      <c r="K202" s="77"/>
      <c r="L202" s="77"/>
      <c r="M202" s="77"/>
      <c r="N202" s="77"/>
      <c r="O202" s="77"/>
      <c r="P202" s="77"/>
      <c r="Q202" s="77"/>
      <c r="R202" s="77"/>
      <c r="S202" s="77"/>
      <c r="T202" s="77"/>
      <c r="U202" s="77"/>
      <c r="V202" s="77"/>
      <c r="W202" s="77"/>
      <c r="X202" s="77"/>
      <c r="Y202" s="77"/>
      <c r="Z202" s="77"/>
      <c r="AA202" s="77"/>
      <c r="AB202" s="77"/>
      <c r="AC202" s="77"/>
      <c r="AD202" s="77"/>
      <c r="AE202" s="77"/>
    </row>
    <row r="203" spans="1:31">
      <c r="A203" s="77"/>
      <c r="B203" s="77"/>
      <c r="C203" s="77"/>
      <c r="D203" s="77"/>
      <c r="E203" s="77"/>
      <c r="F203" s="77"/>
      <c r="G203" s="77"/>
      <c r="H203" s="77"/>
      <c r="I203" s="77"/>
      <c r="J203" s="77"/>
      <c r="K203" s="77"/>
      <c r="L203" s="77"/>
      <c r="M203" s="77"/>
      <c r="N203" s="77"/>
      <c r="O203" s="77"/>
      <c r="P203" s="77"/>
      <c r="Q203" s="77"/>
      <c r="R203" s="77"/>
      <c r="S203" s="77"/>
      <c r="T203" s="77"/>
      <c r="U203" s="77"/>
      <c r="V203" s="77"/>
      <c r="W203" s="77"/>
      <c r="X203" s="77"/>
      <c r="Y203" s="77"/>
      <c r="Z203" s="77"/>
      <c r="AA203" s="77"/>
      <c r="AB203" s="77"/>
      <c r="AC203" s="77"/>
      <c r="AD203" s="77"/>
      <c r="AE203" s="77"/>
    </row>
  </sheetData>
  <sheetProtection sheet="1" objects="1" scenarios="1"/>
  <pageMargins left="0.70866141732283505" right="0.70866141732283505" top="0.74803149606299202" bottom="0.71" header="0.31496062992126" footer="0.31496062992126"/>
  <pageSetup paperSize="9" scale="62" orientation="landscape" r:id="rId1"/>
  <headerFooter>
    <oddFooter>&amp;LNova Scotia Exploration Economics Model&amp;Rwww.indeva.com</oddFooter>
  </headerFooter>
  <rowBreaks count="1" manualBreakCount="1">
    <brk id="53" max="16383" man="1"/>
  </rowBreaks>
  <colBreaks count="1" manualBreakCount="1">
    <brk id="24" max="1048575" man="1"/>
  </col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tabColor theme="9" tint="-0.249977111117893"/>
    <pageSetUpPr fitToPage="1"/>
  </sheetPr>
  <dimension ref="A1:AC212"/>
  <sheetViews>
    <sheetView showGridLines="0" showRowColHeaders="0" zoomScale="75" zoomScaleNormal="75" workbookViewId="0">
      <pane xSplit="2" ySplit="3" topLeftCell="D4" activePane="bottomRight" state="frozen"/>
      <selection activeCell="D43" sqref="D43"/>
      <selection pane="topRight" activeCell="D43" sqref="D43"/>
      <selection pane="bottomLeft" activeCell="D43" sqref="D43"/>
      <selection pane="bottomRight"/>
    </sheetView>
  </sheetViews>
  <sheetFormatPr defaultRowHeight="15"/>
  <cols>
    <col min="1" max="1" width="39.7109375" customWidth="1"/>
    <col min="2" max="3" width="14.7109375" customWidth="1"/>
    <col min="4" max="4" width="12.5703125" customWidth="1"/>
    <col min="5" max="5" width="14.28515625" customWidth="1"/>
    <col min="6" max="7" width="14" customWidth="1"/>
    <col min="8" max="8" width="14.140625" customWidth="1"/>
    <col min="9" max="9" width="14.28515625" customWidth="1"/>
    <col min="10" max="10" width="15" customWidth="1"/>
    <col min="11" max="11" width="14.85546875" customWidth="1"/>
    <col min="12" max="12" width="13.28515625" customWidth="1"/>
    <col min="15" max="15" width="17.28515625" customWidth="1"/>
    <col min="16" max="16" width="12.7109375" customWidth="1"/>
    <col min="18" max="18" width="9.42578125" bestFit="1" customWidth="1"/>
    <col min="19" max="25" width="9.85546875" bestFit="1" customWidth="1"/>
  </cols>
  <sheetData>
    <row r="1" spans="1:29" ht="18.75">
      <c r="A1" s="312" t="s">
        <v>457</v>
      </c>
      <c r="B1" s="93" t="s">
        <v>756</v>
      </c>
      <c r="C1" s="14"/>
      <c r="D1" s="14"/>
      <c r="E1" s="14"/>
      <c r="F1" s="14"/>
      <c r="G1" s="14"/>
      <c r="H1" s="14"/>
      <c r="I1" s="14"/>
      <c r="J1" s="14"/>
      <c r="K1" s="14"/>
      <c r="L1" s="14"/>
      <c r="M1" s="14"/>
      <c r="N1" s="14"/>
      <c r="O1" s="313" t="s">
        <v>458</v>
      </c>
      <c r="P1" s="14"/>
      <c r="Q1" s="14"/>
      <c r="R1" s="14"/>
      <c r="S1" s="14"/>
      <c r="T1" s="14"/>
      <c r="U1" s="14"/>
      <c r="V1" s="14"/>
      <c r="W1" s="14"/>
      <c r="X1" s="14"/>
      <c r="Y1" s="14"/>
      <c r="Z1" s="14"/>
      <c r="AA1" s="14"/>
      <c r="AB1" s="14"/>
      <c r="AC1" s="14"/>
    </row>
    <row r="2" spans="1:29" ht="18.75">
      <c r="A2" s="312"/>
      <c r="B2" s="93" t="s">
        <v>139</v>
      </c>
      <c r="C2" s="14"/>
      <c r="D2" s="14"/>
      <c r="E2" s="14"/>
      <c r="F2" s="14"/>
      <c r="G2" s="14"/>
      <c r="H2" s="14"/>
      <c r="I2" s="14"/>
      <c r="J2" s="14"/>
      <c r="K2" s="14"/>
      <c r="L2" s="14"/>
      <c r="M2" s="14"/>
      <c r="N2" s="14"/>
      <c r="O2" s="313"/>
      <c r="P2" s="14"/>
      <c r="Q2" s="14"/>
      <c r="R2" s="14"/>
      <c r="S2" s="14"/>
      <c r="T2" s="14"/>
      <c r="U2" s="14"/>
      <c r="V2" s="14"/>
      <c r="W2" s="14"/>
      <c r="X2" s="14"/>
      <c r="Y2" s="14"/>
      <c r="Z2" s="14"/>
      <c r="AA2" s="14"/>
      <c r="AB2" s="14"/>
      <c r="AC2" s="14"/>
    </row>
    <row r="3" spans="1:29">
      <c r="A3" s="14"/>
      <c r="B3" s="14"/>
      <c r="C3" s="634" t="s">
        <v>1107</v>
      </c>
      <c r="D3" s="634"/>
      <c r="E3" s="634" t="s">
        <v>459</v>
      </c>
      <c r="F3" s="634"/>
      <c r="G3" s="634" t="s">
        <v>460</v>
      </c>
      <c r="H3" s="634"/>
      <c r="I3" s="634" t="s">
        <v>461</v>
      </c>
      <c r="J3" s="634"/>
      <c r="K3" s="634" t="s">
        <v>462</v>
      </c>
      <c r="L3" s="634"/>
      <c r="M3" s="14"/>
      <c r="N3" s="14"/>
      <c r="O3" s="217" t="str">
        <f>INDEX(C3:L3,1,O7)</f>
        <v>NS Subsurface Energy Develop</v>
      </c>
      <c r="P3" s="14"/>
      <c r="Q3" s="14"/>
      <c r="R3" s="14"/>
      <c r="S3" s="14"/>
      <c r="T3" s="14"/>
      <c r="U3" s="14"/>
      <c r="V3" s="14"/>
      <c r="W3" s="14"/>
      <c r="X3" s="14"/>
      <c r="Y3" s="14"/>
      <c r="Z3" s="14"/>
      <c r="AA3" s="14"/>
      <c r="AB3" s="14"/>
      <c r="AC3" s="14"/>
    </row>
    <row r="4" spans="1:29">
      <c r="A4" s="220" t="s">
        <v>463</v>
      </c>
      <c r="B4" s="220"/>
      <c r="C4" s="631" t="s">
        <v>1106</v>
      </c>
      <c r="D4" s="633"/>
      <c r="E4" s="650"/>
      <c r="F4" s="651"/>
      <c r="G4" s="651"/>
      <c r="H4" s="651"/>
      <c r="I4" s="651"/>
      <c r="J4" s="651"/>
      <c r="K4" s="651"/>
      <c r="L4" s="651"/>
      <c r="M4" s="14"/>
      <c r="N4" s="14"/>
      <c r="O4" s="217" t="str">
        <f>INDEX(C4:L4,1,(O7-1)*2+1)</f>
        <v>NS NRR</v>
      </c>
      <c r="P4" s="14"/>
      <c r="Q4" s="14"/>
      <c r="R4" s="14"/>
      <c r="S4" s="14"/>
      <c r="T4" s="14"/>
      <c r="U4" s="14"/>
      <c r="V4" s="14"/>
      <c r="W4" s="14"/>
      <c r="X4" s="14"/>
      <c r="Y4" s="14"/>
      <c r="Z4" s="14"/>
      <c r="AA4" s="14"/>
      <c r="AB4" s="14"/>
      <c r="AC4" s="14"/>
    </row>
    <row r="5" spans="1:29">
      <c r="A5" s="220" t="s">
        <v>464</v>
      </c>
      <c r="B5" s="220"/>
      <c r="C5" s="652">
        <v>45200</v>
      </c>
      <c r="D5" s="653"/>
      <c r="E5" s="654"/>
      <c r="F5" s="654"/>
      <c r="G5" s="654"/>
      <c r="H5" s="654"/>
      <c r="I5" s="654"/>
      <c r="J5" s="654"/>
      <c r="K5" s="654"/>
      <c r="L5" s="654"/>
      <c r="M5" s="14"/>
      <c r="N5" s="14"/>
      <c r="O5" s="218">
        <f>INDEX(C5:L5,1,(O$7-1)*2+1)</f>
        <v>45200</v>
      </c>
      <c r="P5" s="314"/>
      <c r="Q5" s="14"/>
      <c r="R5" s="14"/>
      <c r="S5" s="14"/>
      <c r="T5" s="14"/>
      <c r="U5" s="14"/>
      <c r="V5" s="14"/>
      <c r="W5" s="14"/>
      <c r="X5" s="14"/>
      <c r="Y5" s="14"/>
      <c r="Z5" s="14"/>
      <c r="AA5" s="14"/>
      <c r="AB5" s="14"/>
      <c r="AC5" s="14"/>
    </row>
    <row r="6" spans="1:29">
      <c r="A6" s="220" t="s">
        <v>769</v>
      </c>
      <c r="B6" s="220" t="s">
        <v>237</v>
      </c>
      <c r="C6" s="631">
        <v>200</v>
      </c>
      <c r="D6" s="633"/>
      <c r="E6" s="651"/>
      <c r="F6" s="651"/>
      <c r="G6" s="651"/>
      <c r="H6" s="651"/>
      <c r="I6" s="651"/>
      <c r="J6" s="651"/>
      <c r="K6" s="651"/>
      <c r="L6" s="651"/>
      <c r="M6" s="14"/>
      <c r="N6" s="14"/>
      <c r="O6" s="219" t="str">
        <f>IF(Input!B15&gt;INDEX(C6:L6,1,(O7-1)*2+1),"Deepwater","Shallow Water")</f>
        <v>Deepwater</v>
      </c>
      <c r="P6" s="14"/>
      <c r="Q6" s="14"/>
      <c r="R6" s="14"/>
      <c r="S6" s="14"/>
      <c r="T6" s="14"/>
      <c r="U6" s="14"/>
      <c r="V6" s="14"/>
      <c r="W6" s="14"/>
      <c r="X6" s="14"/>
      <c r="Y6" s="14"/>
      <c r="Z6" s="14"/>
      <c r="AA6" s="14"/>
      <c r="AB6" s="14"/>
      <c r="AC6" s="14"/>
    </row>
    <row r="7" spans="1:29">
      <c r="A7" s="14"/>
      <c r="B7" s="14"/>
      <c r="C7" s="220" t="s">
        <v>465</v>
      </c>
      <c r="D7" s="220" t="s">
        <v>466</v>
      </c>
      <c r="E7" s="19" t="s">
        <v>465</v>
      </c>
      <c r="F7" s="19" t="s">
        <v>466</v>
      </c>
      <c r="G7" s="19" t="s">
        <v>465</v>
      </c>
      <c r="H7" s="19" t="s">
        <v>466</v>
      </c>
      <c r="I7" s="19" t="s">
        <v>465</v>
      </c>
      <c r="J7" s="19" t="s">
        <v>466</v>
      </c>
      <c r="K7" s="19" t="s">
        <v>465</v>
      </c>
      <c r="L7" s="19" t="s">
        <v>466</v>
      </c>
      <c r="M7" s="14"/>
      <c r="N7" s="220" t="s">
        <v>467</v>
      </c>
      <c r="O7" s="217">
        <f>MATCH(Input!B7,capcostset,0)</f>
        <v>1</v>
      </c>
      <c r="P7" s="14"/>
      <c r="Q7" s="14"/>
      <c r="R7" s="14"/>
      <c r="S7" s="14"/>
      <c r="T7" s="14"/>
      <c r="U7" s="14"/>
      <c r="V7" s="14"/>
      <c r="W7" s="14"/>
      <c r="X7" s="14"/>
      <c r="Y7" s="14"/>
      <c r="Z7" s="14"/>
      <c r="AA7" s="14"/>
      <c r="AB7" s="14"/>
      <c r="AC7" s="14"/>
    </row>
    <row r="8" spans="1:29">
      <c r="A8" s="14"/>
      <c r="B8" s="14"/>
      <c r="C8" s="14"/>
      <c r="D8" s="14"/>
      <c r="E8" s="9"/>
      <c r="F8" s="9"/>
      <c r="G8" s="9"/>
      <c r="H8" s="9"/>
      <c r="I8" s="9"/>
      <c r="J8" s="9"/>
      <c r="K8" s="9"/>
      <c r="L8" s="9"/>
      <c r="M8" s="14"/>
      <c r="N8" s="220" t="s">
        <v>57</v>
      </c>
      <c r="O8" s="217">
        <f>(O7-1)*2+1+IF(O6="Shallow Water",0,1)</f>
        <v>2</v>
      </c>
      <c r="P8" s="220">
        <f>IF(O6="Deepwater",O8-1,0)</f>
        <v>1</v>
      </c>
      <c r="Q8" s="14"/>
      <c r="R8" s="14"/>
      <c r="S8" s="14"/>
      <c r="T8" s="14"/>
      <c r="U8" s="14"/>
      <c r="V8" s="14"/>
      <c r="W8" s="14"/>
      <c r="X8" s="14"/>
      <c r="Y8" s="14"/>
      <c r="Z8" s="14"/>
      <c r="AA8" s="14"/>
      <c r="AB8" s="14"/>
      <c r="AC8" s="14"/>
    </row>
    <row r="9" spans="1:29">
      <c r="A9" s="315" t="s">
        <v>468</v>
      </c>
      <c r="B9" s="14"/>
      <c r="C9" s="14"/>
      <c r="D9" s="14"/>
      <c r="E9" s="9"/>
      <c r="F9" s="9"/>
      <c r="G9" s="9"/>
      <c r="H9" s="9"/>
      <c r="I9" s="9"/>
      <c r="J9" s="9"/>
      <c r="K9" s="9"/>
      <c r="L9" s="9"/>
      <c r="M9" s="14"/>
      <c r="N9" s="14"/>
      <c r="O9" s="14"/>
      <c r="P9" s="14"/>
      <c r="Q9" s="14"/>
      <c r="R9" s="14"/>
      <c r="S9" s="14"/>
      <c r="T9" s="14"/>
      <c r="U9" s="14"/>
      <c r="V9" s="14"/>
      <c r="W9" s="14"/>
      <c r="X9" s="14"/>
      <c r="Y9" s="14"/>
      <c r="Z9" s="14"/>
      <c r="AA9" s="14"/>
      <c r="AB9" s="14"/>
      <c r="AC9" s="14"/>
    </row>
    <row r="10" spans="1:29">
      <c r="A10" s="316" t="s">
        <v>469</v>
      </c>
      <c r="B10" s="316" t="s">
        <v>153</v>
      </c>
      <c r="C10" s="229">
        <v>95.4</v>
      </c>
      <c r="D10" s="229">
        <v>95.4</v>
      </c>
      <c r="E10" s="68"/>
      <c r="F10" s="68"/>
      <c r="G10" s="68"/>
      <c r="H10" s="68"/>
      <c r="I10" s="68"/>
      <c r="J10" s="68"/>
      <c r="K10" s="68"/>
      <c r="L10" s="68"/>
      <c r="M10" s="14"/>
      <c r="N10" s="14"/>
      <c r="O10" s="221">
        <f t="shared" ref="O10:O23" si="0">INDEX(C10:L10,1,$O$8)</f>
        <v>95.4</v>
      </c>
      <c r="P10" s="14"/>
      <c r="Q10" s="14"/>
      <c r="R10" s="14"/>
      <c r="S10" s="14"/>
      <c r="T10" s="14"/>
      <c r="U10" s="14"/>
      <c r="V10" s="14"/>
      <c r="W10" s="14"/>
      <c r="X10" s="14"/>
      <c r="Y10" s="14"/>
      <c r="Z10" s="14"/>
      <c r="AA10" s="14"/>
      <c r="AB10" s="14"/>
      <c r="AC10" s="14"/>
    </row>
    <row r="11" spans="1:29">
      <c r="A11" s="317" t="s">
        <v>470</v>
      </c>
      <c r="B11" s="317" t="s">
        <v>2</v>
      </c>
      <c r="C11" s="229">
        <v>10093.32</v>
      </c>
      <c r="D11" s="229">
        <v>10093.32</v>
      </c>
      <c r="E11" s="68"/>
      <c r="F11" s="68"/>
      <c r="G11" s="68"/>
      <c r="H11" s="68"/>
      <c r="I11" s="68"/>
      <c r="J11" s="68"/>
      <c r="K11" s="68"/>
      <c r="L11" s="68"/>
      <c r="M11" s="14"/>
      <c r="N11" s="14"/>
      <c r="O11" s="222">
        <f t="shared" si="0"/>
        <v>10093.32</v>
      </c>
      <c r="P11" s="14"/>
      <c r="Q11" s="14"/>
      <c r="R11" s="14"/>
      <c r="S11" s="14"/>
      <c r="T11" s="14"/>
      <c r="U11" s="14"/>
      <c r="V11" s="14"/>
      <c r="W11" s="14"/>
      <c r="X11" s="14"/>
      <c r="Y11" s="14"/>
      <c r="Z11" s="14"/>
      <c r="AA11" s="14"/>
      <c r="AB11" s="14"/>
      <c r="AC11" s="14"/>
    </row>
    <row r="12" spans="1:29">
      <c r="A12" s="317" t="s">
        <v>471</v>
      </c>
      <c r="B12" s="317" t="s">
        <v>153</v>
      </c>
      <c r="C12" s="229">
        <v>190.8</v>
      </c>
      <c r="D12" s="229">
        <v>190.8</v>
      </c>
      <c r="E12" s="68"/>
      <c r="F12" s="68"/>
      <c r="G12" s="68"/>
      <c r="H12" s="68"/>
      <c r="I12" s="68"/>
      <c r="J12" s="68"/>
      <c r="K12" s="68"/>
      <c r="L12" s="68"/>
      <c r="M12" s="14"/>
      <c r="N12" s="14"/>
      <c r="O12" s="222">
        <f t="shared" si="0"/>
        <v>190.8</v>
      </c>
      <c r="P12" s="14"/>
      <c r="Q12" s="14"/>
      <c r="R12" s="14"/>
      <c r="S12" s="14"/>
      <c r="T12" s="14"/>
      <c r="U12" s="14"/>
      <c r="V12" s="14"/>
      <c r="W12" s="14"/>
      <c r="X12" s="14"/>
      <c r="Y12" s="14"/>
      <c r="Z12" s="14"/>
      <c r="AA12" s="14"/>
      <c r="AB12" s="14"/>
      <c r="AC12" s="14"/>
    </row>
    <row r="13" spans="1:29">
      <c r="A13" s="317" t="s">
        <v>472</v>
      </c>
      <c r="B13" s="317" t="s">
        <v>2</v>
      </c>
      <c r="C13" s="229">
        <v>4710.2159999999994</v>
      </c>
      <c r="D13" s="229">
        <v>4710.2159999999994</v>
      </c>
      <c r="E13" s="68"/>
      <c r="F13" s="68"/>
      <c r="G13" s="68"/>
      <c r="H13" s="68"/>
      <c r="I13" s="68"/>
      <c r="J13" s="68"/>
      <c r="K13" s="68"/>
      <c r="L13" s="68"/>
      <c r="M13" s="14"/>
      <c r="N13" s="14"/>
      <c r="O13" s="222">
        <f t="shared" si="0"/>
        <v>4710.2159999999994</v>
      </c>
      <c r="P13" s="14"/>
      <c r="Q13" s="14"/>
      <c r="R13" s="14"/>
      <c r="S13" s="14"/>
      <c r="T13" s="14"/>
      <c r="U13" s="14"/>
      <c r="V13" s="14"/>
      <c r="W13" s="14"/>
      <c r="X13" s="14"/>
      <c r="Y13" s="14"/>
      <c r="Z13" s="14"/>
      <c r="AA13" s="14"/>
      <c r="AB13" s="14"/>
      <c r="AC13" s="14"/>
    </row>
    <row r="14" spans="1:29">
      <c r="A14" s="317" t="s">
        <v>473</v>
      </c>
      <c r="B14" s="317" t="s">
        <v>153</v>
      </c>
      <c r="C14" s="229">
        <v>127.2</v>
      </c>
      <c r="D14" s="229">
        <v>127.2</v>
      </c>
      <c r="E14" s="68"/>
      <c r="F14" s="68"/>
      <c r="G14" s="68"/>
      <c r="H14" s="68"/>
      <c r="I14" s="68"/>
      <c r="J14" s="68"/>
      <c r="K14" s="68"/>
      <c r="L14" s="68"/>
      <c r="M14" s="14"/>
      <c r="N14" s="14"/>
      <c r="O14" s="222">
        <f t="shared" si="0"/>
        <v>127.2</v>
      </c>
      <c r="P14" s="14"/>
      <c r="Q14" s="14"/>
      <c r="R14" s="14"/>
      <c r="S14" s="14"/>
      <c r="T14" s="14"/>
      <c r="U14" s="14"/>
      <c r="V14" s="14"/>
      <c r="W14" s="14"/>
      <c r="X14" s="14"/>
      <c r="Y14" s="14"/>
      <c r="Z14" s="14"/>
      <c r="AA14" s="14"/>
      <c r="AB14" s="14"/>
      <c r="AC14" s="14"/>
    </row>
    <row r="15" spans="1:29">
      <c r="A15" s="317" t="s">
        <v>474</v>
      </c>
      <c r="B15" s="317" t="s">
        <v>153</v>
      </c>
      <c r="C15" s="229">
        <v>95.4</v>
      </c>
      <c r="D15" s="229">
        <v>95.4</v>
      </c>
      <c r="E15" s="68"/>
      <c r="F15" s="68"/>
      <c r="G15" s="68"/>
      <c r="H15" s="68"/>
      <c r="I15" s="68"/>
      <c r="J15" s="68"/>
      <c r="K15" s="68"/>
      <c r="L15" s="68"/>
      <c r="M15" s="14"/>
      <c r="N15" s="14"/>
      <c r="O15" s="222">
        <f t="shared" si="0"/>
        <v>95.4</v>
      </c>
      <c r="P15" s="14"/>
      <c r="Q15" s="14"/>
      <c r="R15" s="14"/>
      <c r="S15" s="14"/>
      <c r="T15" s="14"/>
      <c r="U15" s="14"/>
      <c r="V15" s="14"/>
      <c r="W15" s="14"/>
      <c r="X15" s="14"/>
      <c r="Y15" s="14"/>
      <c r="Z15" s="14"/>
      <c r="AA15" s="14"/>
      <c r="AB15" s="14"/>
      <c r="AC15" s="14"/>
    </row>
    <row r="16" spans="1:29">
      <c r="A16" s="317" t="s">
        <v>475</v>
      </c>
      <c r="B16" s="317" t="s">
        <v>2</v>
      </c>
      <c r="C16" s="229">
        <v>672.88799999999992</v>
      </c>
      <c r="D16" s="229">
        <v>672.88799999999992</v>
      </c>
      <c r="E16" s="68"/>
      <c r="F16" s="68"/>
      <c r="G16" s="68"/>
      <c r="H16" s="68"/>
      <c r="I16" s="68"/>
      <c r="J16" s="68"/>
      <c r="K16" s="68"/>
      <c r="L16" s="68"/>
      <c r="M16" s="14"/>
      <c r="N16" s="14"/>
      <c r="O16" s="222">
        <f t="shared" si="0"/>
        <v>672.88799999999992</v>
      </c>
      <c r="P16" s="14"/>
      <c r="Q16" s="14"/>
      <c r="R16" s="14"/>
      <c r="S16" s="14"/>
      <c r="T16" s="14"/>
      <c r="U16" s="14"/>
      <c r="V16" s="14"/>
      <c r="W16" s="14"/>
      <c r="X16" s="14"/>
      <c r="Y16" s="14"/>
      <c r="Z16" s="14"/>
      <c r="AA16" s="14"/>
      <c r="AB16" s="14"/>
      <c r="AC16" s="14"/>
    </row>
    <row r="17" spans="1:29">
      <c r="A17" s="317" t="s">
        <v>476</v>
      </c>
      <c r="B17" s="317" t="s">
        <v>153</v>
      </c>
      <c r="C17" s="229">
        <v>127.2</v>
      </c>
      <c r="D17" s="229">
        <v>127.2</v>
      </c>
      <c r="E17" s="68"/>
      <c r="F17" s="68"/>
      <c r="G17" s="68"/>
      <c r="H17" s="68"/>
      <c r="I17" s="68"/>
      <c r="J17" s="68"/>
      <c r="K17" s="68"/>
      <c r="L17" s="68"/>
      <c r="M17" s="14"/>
      <c r="N17" s="14"/>
      <c r="O17" s="222">
        <f t="shared" si="0"/>
        <v>127.2</v>
      </c>
      <c r="P17" s="14"/>
      <c r="Q17" s="14"/>
      <c r="R17" s="14"/>
      <c r="S17" s="14"/>
      <c r="T17" s="14"/>
      <c r="U17" s="14"/>
      <c r="V17" s="14"/>
      <c r="W17" s="14"/>
      <c r="X17" s="14"/>
      <c r="Y17" s="14"/>
      <c r="Z17" s="14"/>
      <c r="AA17" s="14"/>
      <c r="AB17" s="14"/>
      <c r="AC17" s="14"/>
    </row>
    <row r="18" spans="1:29">
      <c r="A18" s="317" t="s">
        <v>477</v>
      </c>
      <c r="B18" s="317" t="s">
        <v>153</v>
      </c>
      <c r="C18" s="229">
        <v>31.8</v>
      </c>
      <c r="D18" s="229">
        <v>31.8</v>
      </c>
      <c r="E18" s="68"/>
      <c r="F18" s="68"/>
      <c r="G18" s="68"/>
      <c r="H18" s="68"/>
      <c r="I18" s="68"/>
      <c r="J18" s="68"/>
      <c r="K18" s="68"/>
      <c r="L18" s="68"/>
      <c r="M18" s="14"/>
      <c r="N18" s="14"/>
      <c r="O18" s="222">
        <f t="shared" si="0"/>
        <v>31.8</v>
      </c>
      <c r="P18" s="14"/>
      <c r="Q18" s="14"/>
      <c r="R18" s="14"/>
      <c r="S18" s="14"/>
      <c r="T18" s="14"/>
      <c r="U18" s="14"/>
      <c r="V18" s="14"/>
      <c r="W18" s="14"/>
      <c r="X18" s="14"/>
      <c r="Y18" s="14"/>
      <c r="Z18" s="14"/>
      <c r="AA18" s="14"/>
      <c r="AB18" s="14"/>
      <c r="AC18" s="14"/>
    </row>
    <row r="19" spans="1:29">
      <c r="A19" s="317" t="s">
        <v>478</v>
      </c>
      <c r="B19" s="317" t="s">
        <v>2</v>
      </c>
      <c r="C19" s="229">
        <v>471.02159999999992</v>
      </c>
      <c r="D19" s="229">
        <v>471.02159999999992</v>
      </c>
      <c r="E19" s="68"/>
      <c r="F19" s="68"/>
      <c r="G19" s="68"/>
      <c r="H19" s="68"/>
      <c r="I19" s="68"/>
      <c r="J19" s="68"/>
      <c r="K19" s="68"/>
      <c r="L19" s="68"/>
      <c r="M19" s="14"/>
      <c r="N19" s="14"/>
      <c r="O19" s="222">
        <f t="shared" si="0"/>
        <v>471.02159999999992</v>
      </c>
      <c r="P19" s="14"/>
      <c r="Q19" s="14"/>
      <c r="R19" s="14"/>
      <c r="S19" s="14"/>
      <c r="T19" s="14"/>
      <c r="U19" s="14"/>
      <c r="V19" s="14"/>
      <c r="W19" s="14"/>
      <c r="X19" s="14"/>
      <c r="Y19" s="14"/>
      <c r="Z19" s="14"/>
      <c r="AA19" s="14"/>
      <c r="AB19" s="14"/>
      <c r="AC19" s="14"/>
    </row>
    <row r="20" spans="1:29">
      <c r="A20" s="317" t="s">
        <v>479</v>
      </c>
      <c r="B20" s="317" t="s">
        <v>153</v>
      </c>
      <c r="C20" s="229">
        <v>95.4</v>
      </c>
      <c r="D20" s="229">
        <v>95.4</v>
      </c>
      <c r="E20" s="68"/>
      <c r="F20" s="68"/>
      <c r="G20" s="68"/>
      <c r="H20" s="68"/>
      <c r="I20" s="68"/>
      <c r="J20" s="68"/>
      <c r="K20" s="68"/>
      <c r="L20" s="68"/>
      <c r="M20" s="14"/>
      <c r="N20" s="14"/>
      <c r="O20" s="222">
        <f t="shared" si="0"/>
        <v>95.4</v>
      </c>
      <c r="P20" s="14"/>
      <c r="Q20" s="14"/>
      <c r="R20" s="14"/>
      <c r="S20" s="14"/>
      <c r="T20" s="14"/>
      <c r="U20" s="14"/>
      <c r="V20" s="14"/>
      <c r="W20" s="14"/>
      <c r="X20" s="14"/>
      <c r="Y20" s="14"/>
      <c r="Z20" s="14"/>
      <c r="AA20" s="14"/>
      <c r="AB20" s="14"/>
      <c r="AC20" s="14"/>
    </row>
    <row r="21" spans="1:29">
      <c r="A21" s="317" t="s">
        <v>480</v>
      </c>
      <c r="B21" s="317" t="s">
        <v>153</v>
      </c>
      <c r="C21" s="229">
        <v>190.8</v>
      </c>
      <c r="D21" s="229">
        <v>190.8</v>
      </c>
      <c r="E21" s="68"/>
      <c r="F21" s="68"/>
      <c r="G21" s="68"/>
      <c r="H21" s="68"/>
      <c r="I21" s="68"/>
      <c r="J21" s="68"/>
      <c r="K21" s="68"/>
      <c r="L21" s="68"/>
      <c r="M21" s="14"/>
      <c r="N21" s="14"/>
      <c r="O21" s="222">
        <f t="shared" si="0"/>
        <v>190.8</v>
      </c>
      <c r="P21" s="14"/>
      <c r="Q21" s="14"/>
      <c r="R21" s="14"/>
      <c r="S21" s="14"/>
      <c r="T21" s="14"/>
      <c r="U21" s="14"/>
      <c r="V21" s="14"/>
      <c r="W21" s="14"/>
      <c r="X21" s="14"/>
      <c r="Y21" s="14"/>
      <c r="Z21" s="14"/>
      <c r="AA21" s="14"/>
      <c r="AB21" s="14"/>
      <c r="AC21" s="14"/>
    </row>
    <row r="22" spans="1:29">
      <c r="A22" s="317" t="s">
        <v>481</v>
      </c>
      <c r="B22" s="317" t="s">
        <v>153</v>
      </c>
      <c r="C22" s="229">
        <v>318</v>
      </c>
      <c r="D22" s="229">
        <v>318</v>
      </c>
      <c r="E22" s="68"/>
      <c r="F22" s="68"/>
      <c r="G22" s="68"/>
      <c r="H22" s="68"/>
      <c r="I22" s="68"/>
      <c r="J22" s="68"/>
      <c r="K22" s="68"/>
      <c r="L22" s="68"/>
      <c r="M22" s="14"/>
      <c r="N22" s="14"/>
      <c r="O22" s="222">
        <f t="shared" si="0"/>
        <v>318</v>
      </c>
      <c r="P22" s="14"/>
      <c r="Q22" s="14"/>
      <c r="R22" s="14"/>
      <c r="S22" s="14"/>
      <c r="T22" s="14"/>
      <c r="U22" s="14"/>
      <c r="V22" s="14"/>
      <c r="W22" s="14"/>
      <c r="X22" s="14"/>
      <c r="Y22" s="14"/>
      <c r="Z22" s="14"/>
      <c r="AA22" s="14"/>
      <c r="AB22" s="14"/>
      <c r="AC22" s="14"/>
    </row>
    <row r="23" spans="1:29">
      <c r="A23" s="317" t="s">
        <v>482</v>
      </c>
      <c r="B23" s="317" t="s">
        <v>153</v>
      </c>
      <c r="C23" s="229">
        <v>190.8</v>
      </c>
      <c r="D23" s="229">
        <v>190.8</v>
      </c>
      <c r="E23" s="68"/>
      <c r="F23" s="68"/>
      <c r="G23" s="68"/>
      <c r="H23" s="68"/>
      <c r="I23" s="68"/>
      <c r="J23" s="68"/>
      <c r="K23" s="68"/>
      <c r="L23" s="68"/>
      <c r="M23" s="14"/>
      <c r="N23" s="14"/>
      <c r="O23" s="222">
        <f t="shared" si="0"/>
        <v>190.8</v>
      </c>
      <c r="P23" s="14"/>
      <c r="Q23" s="14"/>
      <c r="R23" s="14"/>
      <c r="S23" s="14"/>
      <c r="T23" s="14"/>
      <c r="U23" s="14"/>
      <c r="V23" s="14"/>
      <c r="W23" s="14"/>
      <c r="X23" s="14"/>
      <c r="Y23" s="14"/>
      <c r="Z23" s="14"/>
      <c r="AA23" s="14"/>
      <c r="AB23" s="14"/>
      <c r="AC23" s="14"/>
    </row>
    <row r="24" spans="1:29">
      <c r="A24" s="318" t="s">
        <v>483</v>
      </c>
      <c r="B24" s="318" t="s">
        <v>484</v>
      </c>
      <c r="C24" s="229">
        <v>208701.36986301365</v>
      </c>
      <c r="D24" s="229">
        <v>782630.13698630128</v>
      </c>
      <c r="E24" s="68"/>
      <c r="F24" s="68"/>
      <c r="G24" s="68"/>
      <c r="H24" s="68"/>
      <c r="I24" s="68"/>
      <c r="J24" s="68"/>
      <c r="K24" s="68"/>
      <c r="L24" s="68"/>
      <c r="M24" s="14"/>
      <c r="N24" s="14"/>
      <c r="O24" s="223">
        <f>INDEX(C24:L24,1,$O$8)</f>
        <v>782630.13698630128</v>
      </c>
      <c r="P24" s="14"/>
      <c r="Q24" s="14"/>
      <c r="R24" s="14"/>
      <c r="S24" s="14"/>
      <c r="T24" s="14"/>
      <c r="U24" s="14"/>
      <c r="V24" s="14"/>
      <c r="W24" s="14"/>
      <c r="X24" s="14"/>
      <c r="Y24" s="14"/>
      <c r="Z24" s="14"/>
      <c r="AA24" s="14"/>
      <c r="AB24" s="14"/>
      <c r="AC24" s="14"/>
    </row>
    <row r="25" spans="1:29">
      <c r="A25" s="14"/>
      <c r="B25" s="14"/>
      <c r="C25" s="224"/>
      <c r="D25" s="224"/>
      <c r="E25" s="328"/>
      <c r="F25" s="328"/>
      <c r="G25" s="328"/>
      <c r="H25" s="328"/>
      <c r="I25" s="328"/>
      <c r="J25" s="328"/>
      <c r="K25" s="328"/>
      <c r="L25" s="328"/>
      <c r="M25" s="14"/>
      <c r="N25" s="14"/>
      <c r="O25" s="14"/>
      <c r="P25" s="14"/>
      <c r="Q25" s="14"/>
      <c r="R25" s="14"/>
      <c r="S25" s="14"/>
      <c r="T25" s="14"/>
      <c r="U25" s="14"/>
      <c r="V25" s="14"/>
      <c r="W25" s="14"/>
      <c r="X25" s="14"/>
      <c r="Y25" s="14"/>
      <c r="Z25" s="14"/>
      <c r="AA25" s="14"/>
      <c r="AB25" s="14"/>
      <c r="AC25" s="14"/>
    </row>
    <row r="26" spans="1:29">
      <c r="A26" s="315" t="s">
        <v>485</v>
      </c>
      <c r="B26" s="14"/>
      <c r="C26" s="224"/>
      <c r="D26" s="224"/>
      <c r="E26" s="328"/>
      <c r="F26" s="328"/>
      <c r="G26" s="328"/>
      <c r="H26" s="328"/>
      <c r="I26" s="328"/>
      <c r="J26" s="328"/>
      <c r="K26" s="328"/>
      <c r="L26" s="328"/>
      <c r="M26" s="14"/>
      <c r="N26" s="14"/>
      <c r="O26" s="14"/>
      <c r="P26" s="14"/>
      <c r="Q26" s="14"/>
      <c r="R26" s="14"/>
      <c r="S26" s="14"/>
      <c r="T26" s="14"/>
      <c r="U26" s="14"/>
      <c r="V26" s="14"/>
      <c r="W26" s="14"/>
      <c r="X26" s="14"/>
      <c r="Y26" s="14"/>
      <c r="Z26" s="14"/>
      <c r="AA26" s="14"/>
      <c r="AB26" s="14"/>
      <c r="AC26" s="14"/>
    </row>
    <row r="27" spans="1:29">
      <c r="A27" s="316" t="s">
        <v>486</v>
      </c>
      <c r="B27" s="316" t="s">
        <v>2</v>
      </c>
      <c r="C27" s="393">
        <v>5484.6719999999996</v>
      </c>
      <c r="D27" s="393">
        <v>16454.015999999996</v>
      </c>
      <c r="E27" s="68"/>
      <c r="F27" s="68"/>
      <c r="G27" s="68"/>
      <c r="H27" s="68"/>
      <c r="I27" s="68"/>
      <c r="J27" s="68"/>
      <c r="K27" s="68"/>
      <c r="L27" s="68"/>
      <c r="M27" s="14"/>
      <c r="N27" s="14"/>
      <c r="O27" s="221">
        <f>INDEX(C27:L27,1,$O$8)</f>
        <v>16454.015999999996</v>
      </c>
      <c r="P27" s="14"/>
      <c r="Q27" s="14"/>
      <c r="R27" s="55"/>
      <c r="S27" s="55"/>
      <c r="T27" s="55"/>
      <c r="U27" s="55"/>
      <c r="V27" s="55"/>
      <c r="W27" s="55"/>
      <c r="X27" s="55"/>
      <c r="Y27" s="55"/>
      <c r="Z27" s="14"/>
      <c r="AA27" s="14"/>
      <c r="AB27" s="14"/>
      <c r="AC27" s="14"/>
    </row>
    <row r="28" spans="1:29">
      <c r="A28" s="317" t="s">
        <v>495</v>
      </c>
      <c r="B28" s="317" t="s">
        <v>487</v>
      </c>
      <c r="C28" s="393">
        <v>3153.6863999999996</v>
      </c>
      <c r="D28" s="393">
        <v>6500</v>
      </c>
      <c r="E28" s="68"/>
      <c r="F28" s="68"/>
      <c r="G28" s="68"/>
      <c r="H28" s="68"/>
      <c r="I28" s="68"/>
      <c r="J28" s="68"/>
      <c r="K28" s="68"/>
      <c r="L28" s="68"/>
      <c r="M28" s="14"/>
      <c r="N28" s="14"/>
      <c r="O28" s="222">
        <f>INDEX(C28:L28,1,$O$8)</f>
        <v>6500</v>
      </c>
      <c r="P28" s="14"/>
      <c r="Q28" s="14"/>
      <c r="R28" s="55"/>
      <c r="S28" s="55"/>
      <c r="T28" s="55"/>
      <c r="U28" s="55"/>
      <c r="V28" s="55"/>
      <c r="W28" s="55"/>
      <c r="X28" s="55"/>
      <c r="Y28" s="55"/>
      <c r="Z28" s="14"/>
      <c r="AA28" s="14"/>
      <c r="AB28" s="14"/>
      <c r="AC28" s="14"/>
    </row>
    <row r="29" spans="1:29">
      <c r="A29" s="317" t="s">
        <v>488</v>
      </c>
      <c r="B29" s="317" t="s">
        <v>484</v>
      </c>
      <c r="C29" s="393">
        <v>246810.23999999993</v>
      </c>
      <c r="D29" s="393">
        <v>315368.64</v>
      </c>
      <c r="E29" s="68"/>
      <c r="F29" s="68"/>
      <c r="G29" s="68"/>
      <c r="H29" s="68"/>
      <c r="I29" s="68"/>
      <c r="J29" s="68"/>
      <c r="K29" s="68"/>
      <c r="L29" s="68"/>
      <c r="M29" s="14"/>
      <c r="N29" s="14"/>
      <c r="O29" s="222">
        <f>INDEX(C29:L29,1,$O$8)</f>
        <v>315368.64</v>
      </c>
      <c r="P29" s="14"/>
      <c r="Q29" s="14"/>
      <c r="R29" s="55"/>
      <c r="S29" s="55"/>
      <c r="T29" s="55"/>
      <c r="U29" s="55"/>
      <c r="V29" s="55"/>
      <c r="W29" s="55"/>
      <c r="X29" s="55"/>
      <c r="Y29" s="55"/>
      <c r="Z29" s="14"/>
      <c r="AA29" s="14"/>
      <c r="AB29" s="14"/>
      <c r="AC29" s="14"/>
    </row>
    <row r="30" spans="1:29">
      <c r="A30" s="317" t="s">
        <v>489</v>
      </c>
      <c r="B30" s="317" t="s">
        <v>153</v>
      </c>
      <c r="C30" s="393">
        <v>22.26</v>
      </c>
      <c r="D30" s="393">
        <v>25.44</v>
      </c>
      <c r="E30" s="68"/>
      <c r="F30" s="68"/>
      <c r="G30" s="68"/>
      <c r="H30" s="68"/>
      <c r="I30" s="68"/>
      <c r="J30" s="68"/>
      <c r="K30" s="68"/>
      <c r="L30" s="68"/>
      <c r="M30" s="14"/>
      <c r="N30" s="14"/>
      <c r="O30" s="222">
        <f>INDEX(C30:L30,1,$O$8)</f>
        <v>25.44</v>
      </c>
      <c r="P30" s="14"/>
      <c r="Q30" s="14"/>
      <c r="R30" s="55"/>
      <c r="S30" s="55"/>
      <c r="T30" s="55"/>
      <c r="U30" s="55"/>
      <c r="V30" s="55"/>
      <c r="W30" s="55"/>
      <c r="X30" s="55"/>
      <c r="Y30" s="55"/>
      <c r="Z30" s="14"/>
      <c r="AA30" s="14"/>
      <c r="AB30" s="14"/>
      <c r="AC30" s="14"/>
    </row>
    <row r="31" spans="1:29">
      <c r="A31" s="318" t="s">
        <v>490</v>
      </c>
      <c r="B31" s="318" t="s">
        <v>491</v>
      </c>
      <c r="C31" s="393">
        <v>70</v>
      </c>
      <c r="D31" s="393">
        <v>50</v>
      </c>
      <c r="E31" s="68"/>
      <c r="F31" s="68"/>
      <c r="G31" s="68"/>
      <c r="H31" s="68"/>
      <c r="I31" s="68"/>
      <c r="J31" s="68"/>
      <c r="K31" s="68"/>
      <c r="L31" s="68"/>
      <c r="M31" s="14"/>
      <c r="N31" s="14"/>
      <c r="O31" s="223">
        <f>INDEX(C31:L31,1,$O$8)</f>
        <v>50</v>
      </c>
      <c r="P31" s="14"/>
      <c r="Q31" s="14"/>
      <c r="R31" s="14"/>
      <c r="S31" s="14"/>
      <c r="T31" s="14"/>
      <c r="U31" s="14"/>
      <c r="V31" s="14"/>
      <c r="W31" s="14"/>
      <c r="X31" s="14"/>
      <c r="Y31" s="14"/>
      <c r="Z31" s="14"/>
      <c r="AA31" s="14"/>
      <c r="AB31" s="14"/>
      <c r="AC31" s="14"/>
    </row>
    <row r="32" spans="1:29">
      <c r="A32" s="14"/>
      <c r="B32" s="14"/>
      <c r="C32" s="224"/>
      <c r="D32" s="224"/>
      <c r="E32" s="328"/>
      <c r="F32" s="328"/>
      <c r="G32" s="328"/>
      <c r="H32" s="328"/>
      <c r="I32" s="328"/>
      <c r="J32" s="328"/>
      <c r="K32" s="328"/>
      <c r="L32" s="328"/>
      <c r="M32" s="14"/>
      <c r="N32" s="14"/>
      <c r="O32" s="14"/>
      <c r="P32" s="14"/>
      <c r="Q32" s="14"/>
      <c r="R32" s="14"/>
      <c r="S32" s="14"/>
      <c r="T32" s="14"/>
      <c r="U32" s="14"/>
      <c r="V32" s="14"/>
      <c r="W32" s="14"/>
      <c r="X32" s="14"/>
      <c r="Y32" s="14"/>
      <c r="Z32" s="14"/>
      <c r="AA32" s="14"/>
      <c r="AB32" s="14"/>
      <c r="AC32" s="14"/>
    </row>
    <row r="33" spans="1:29">
      <c r="A33" s="315" t="s">
        <v>492</v>
      </c>
      <c r="B33" s="14"/>
      <c r="C33" s="224"/>
      <c r="D33" s="224"/>
      <c r="E33" s="328"/>
      <c r="F33" s="328"/>
      <c r="G33" s="328"/>
      <c r="H33" s="328"/>
      <c r="I33" s="328"/>
      <c r="J33" s="328"/>
      <c r="K33" s="328"/>
      <c r="L33" s="328"/>
      <c r="M33" s="14"/>
      <c r="N33" s="14"/>
      <c r="O33" s="14"/>
      <c r="P33" s="14"/>
      <c r="Q33" s="14"/>
      <c r="R33" s="14"/>
      <c r="S33" s="14"/>
      <c r="T33" s="14"/>
      <c r="U33" s="14"/>
      <c r="V33" s="14"/>
      <c r="W33" s="14"/>
      <c r="X33" s="14"/>
      <c r="Y33" s="14"/>
      <c r="Z33" s="14"/>
      <c r="AA33" s="14"/>
      <c r="AB33" s="14"/>
      <c r="AC33" s="14"/>
    </row>
    <row r="34" spans="1:29">
      <c r="A34" s="316" t="s">
        <v>486</v>
      </c>
      <c r="B34" s="316" t="s">
        <v>2</v>
      </c>
      <c r="C34" s="394">
        <v>4113.503999999999</v>
      </c>
      <c r="D34" s="394">
        <v>8227.007999999998</v>
      </c>
      <c r="E34" s="68"/>
      <c r="F34" s="68"/>
      <c r="G34" s="68"/>
      <c r="H34" s="68"/>
      <c r="I34" s="68"/>
      <c r="J34" s="68"/>
      <c r="K34" s="68"/>
      <c r="L34" s="68"/>
      <c r="M34" s="14"/>
      <c r="N34" s="14"/>
      <c r="O34" s="221">
        <f>INDEX(C34:L34,1,$O$8)</f>
        <v>8227.007999999998</v>
      </c>
      <c r="P34" s="14"/>
      <c r="Q34" s="14"/>
      <c r="R34" s="14"/>
      <c r="S34" s="14"/>
      <c r="T34" s="14"/>
      <c r="U34" s="14"/>
      <c r="V34" s="14"/>
      <c r="W34" s="14"/>
      <c r="X34" s="14"/>
      <c r="Y34" s="14"/>
      <c r="Z34" s="14"/>
      <c r="AA34" s="14"/>
      <c r="AB34" s="14"/>
      <c r="AC34" s="14"/>
    </row>
    <row r="35" spans="1:29">
      <c r="A35" s="317" t="s">
        <v>495</v>
      </c>
      <c r="B35" s="317" t="s">
        <v>487</v>
      </c>
      <c r="C35" s="394">
        <v>3153.6863999999996</v>
      </c>
      <c r="D35" s="394">
        <v>4387.7375999999995</v>
      </c>
      <c r="E35" s="68"/>
      <c r="F35" s="68"/>
      <c r="G35" s="68"/>
      <c r="H35" s="68"/>
      <c r="I35" s="68"/>
      <c r="J35" s="68"/>
      <c r="K35" s="68"/>
      <c r="L35" s="68"/>
      <c r="M35" s="14"/>
      <c r="N35" s="14"/>
      <c r="O35" s="222">
        <f>INDEX(C35:L35,1,$O$8)</f>
        <v>4387.7375999999995</v>
      </c>
      <c r="P35" s="14"/>
      <c r="Q35" s="14"/>
      <c r="R35" s="58"/>
      <c r="S35" s="58"/>
      <c r="T35" s="58"/>
      <c r="U35" s="58"/>
      <c r="V35" s="58"/>
      <c r="W35" s="58"/>
      <c r="X35" s="58"/>
      <c r="Y35" s="58"/>
      <c r="Z35" s="14"/>
      <c r="AA35" s="14"/>
      <c r="AB35" s="14"/>
      <c r="AC35" s="14"/>
    </row>
    <row r="36" spans="1:29">
      <c r="A36" s="317" t="s">
        <v>488</v>
      </c>
      <c r="B36" s="317" t="s">
        <v>484</v>
      </c>
      <c r="C36" s="394">
        <v>266555.05919999996</v>
      </c>
      <c r="D36" s="394">
        <v>315368.64</v>
      </c>
      <c r="E36" s="68"/>
      <c r="F36" s="68"/>
      <c r="G36" s="68"/>
      <c r="H36" s="68"/>
      <c r="I36" s="68"/>
      <c r="J36" s="68"/>
      <c r="K36" s="68"/>
      <c r="L36" s="68"/>
      <c r="M36" s="14"/>
      <c r="N36" s="14"/>
      <c r="O36" s="222">
        <f>INDEX(C36:L36,1,$O$8)</f>
        <v>315368.64</v>
      </c>
      <c r="P36" s="14"/>
      <c r="Q36" s="14"/>
      <c r="R36" s="14"/>
      <c r="S36" s="14"/>
      <c r="T36" s="14"/>
      <c r="U36" s="14"/>
      <c r="V36" s="14"/>
      <c r="W36" s="14"/>
      <c r="X36" s="14"/>
      <c r="Y36" s="14"/>
      <c r="Z36" s="14"/>
      <c r="AA36" s="14"/>
      <c r="AB36" s="14"/>
      <c r="AC36" s="14"/>
    </row>
    <row r="37" spans="1:29">
      <c r="A37" s="317" t="s">
        <v>489</v>
      </c>
      <c r="B37" s="317" t="s">
        <v>153</v>
      </c>
      <c r="C37" s="394">
        <v>2</v>
      </c>
      <c r="D37" s="394">
        <v>3</v>
      </c>
      <c r="E37" s="465"/>
      <c r="F37" s="465"/>
      <c r="G37" s="68"/>
      <c r="H37" s="68"/>
      <c r="I37" s="68"/>
      <c r="J37" s="68"/>
      <c r="K37" s="68"/>
      <c r="L37" s="68"/>
      <c r="M37" s="14"/>
      <c r="N37" s="14"/>
      <c r="O37" s="222">
        <f>INDEX(C37:L37,1,$O$8)</f>
        <v>3</v>
      </c>
      <c r="P37" s="14"/>
      <c r="Q37" s="14"/>
      <c r="R37" s="14"/>
      <c r="S37" s="14"/>
      <c r="T37" s="14"/>
      <c r="U37" s="14"/>
      <c r="V37" s="14"/>
      <c r="W37" s="14"/>
      <c r="X37" s="14"/>
      <c r="Y37" s="14"/>
      <c r="Z37" s="14"/>
      <c r="AA37" s="14"/>
      <c r="AB37" s="14"/>
      <c r="AC37" s="14"/>
    </row>
    <row r="38" spans="1:29">
      <c r="A38" s="318" t="s">
        <v>490</v>
      </c>
      <c r="B38" s="318" t="s">
        <v>491</v>
      </c>
      <c r="C38" s="394">
        <v>90</v>
      </c>
      <c r="D38" s="394">
        <v>65</v>
      </c>
      <c r="E38" s="68"/>
      <c r="F38" s="68"/>
      <c r="G38" s="68"/>
      <c r="H38" s="68"/>
      <c r="I38" s="68"/>
      <c r="J38" s="68"/>
      <c r="K38" s="68"/>
      <c r="L38" s="68"/>
      <c r="M38" s="14"/>
      <c r="N38" s="14"/>
      <c r="O38" s="223">
        <f>INDEX(C38:L38,1,$O$8)</f>
        <v>65</v>
      </c>
      <c r="P38" s="14"/>
      <c r="Q38" s="14"/>
      <c r="R38" s="14"/>
      <c r="S38" s="14"/>
      <c r="T38" s="14"/>
      <c r="U38" s="14"/>
      <c r="V38" s="14"/>
      <c r="W38" s="14"/>
      <c r="X38" s="14"/>
      <c r="Y38" s="14"/>
      <c r="Z38" s="14"/>
      <c r="AA38" s="14"/>
      <c r="AB38" s="14"/>
      <c r="AC38" s="14"/>
    </row>
    <row r="39" spans="1:29">
      <c r="A39" s="14"/>
      <c r="B39" s="14"/>
      <c r="C39" s="224"/>
      <c r="D39" s="224"/>
      <c r="E39" s="328"/>
      <c r="F39" s="328"/>
      <c r="G39" s="328"/>
      <c r="H39" s="328"/>
      <c r="I39" s="328"/>
      <c r="J39" s="328"/>
      <c r="K39" s="328"/>
      <c r="L39" s="328"/>
      <c r="M39" s="14"/>
      <c r="N39" s="14"/>
      <c r="O39" s="14"/>
      <c r="P39" s="14"/>
      <c r="Q39" s="14"/>
      <c r="R39" s="14"/>
      <c r="S39" s="14"/>
      <c r="T39" s="14"/>
      <c r="U39" s="14"/>
      <c r="V39" s="14"/>
      <c r="W39" s="14"/>
      <c r="X39" s="14"/>
      <c r="Y39" s="14"/>
      <c r="Z39" s="14"/>
      <c r="AA39" s="14"/>
      <c r="AB39" s="14"/>
      <c r="AC39" s="14"/>
    </row>
    <row r="40" spans="1:29">
      <c r="A40" s="315" t="s">
        <v>493</v>
      </c>
      <c r="B40" s="14"/>
      <c r="C40" s="224"/>
      <c r="D40" s="224"/>
      <c r="E40" s="328"/>
      <c r="F40" s="328"/>
      <c r="G40" s="328"/>
      <c r="H40" s="328"/>
      <c r="I40" s="328"/>
      <c r="J40" s="328"/>
      <c r="K40" s="328"/>
      <c r="L40" s="328"/>
      <c r="M40" s="14"/>
      <c r="N40" s="14"/>
      <c r="O40" s="14"/>
      <c r="P40" s="14"/>
      <c r="Q40" s="14"/>
      <c r="R40" s="14">
        <f>R26</f>
        <v>0</v>
      </c>
      <c r="S40" s="14">
        <f>R40+300</f>
        <v>300</v>
      </c>
      <c r="T40" s="14">
        <f t="shared" ref="T40:Y40" si="1">S40+300</f>
        <v>600</v>
      </c>
      <c r="U40" s="14">
        <f t="shared" si="1"/>
        <v>900</v>
      </c>
      <c r="V40" s="14">
        <f t="shared" si="1"/>
        <v>1200</v>
      </c>
      <c r="W40" s="14">
        <f t="shared" si="1"/>
        <v>1500</v>
      </c>
      <c r="X40" s="14">
        <f t="shared" si="1"/>
        <v>1800</v>
      </c>
      <c r="Y40" s="14">
        <f t="shared" si="1"/>
        <v>2100</v>
      </c>
      <c r="Z40" s="14"/>
      <c r="AA40" s="14"/>
      <c r="AB40" s="14"/>
      <c r="AC40" s="14"/>
    </row>
    <row r="41" spans="1:29">
      <c r="A41" s="316" t="s">
        <v>486</v>
      </c>
      <c r="B41" s="316" t="s">
        <v>2</v>
      </c>
      <c r="C41" s="394">
        <v>959.81759999999986</v>
      </c>
      <c r="D41" s="394">
        <v>959.81759999999986</v>
      </c>
      <c r="E41" s="68"/>
      <c r="F41" s="68"/>
      <c r="G41" s="68"/>
      <c r="H41" s="68"/>
      <c r="I41" s="68"/>
      <c r="J41" s="68"/>
      <c r="K41" s="68"/>
      <c r="L41" s="68"/>
      <c r="M41" s="14"/>
      <c r="N41" s="14"/>
      <c r="O41" s="221">
        <f>INDEX(C41:L41,1,$O$8)</f>
        <v>959.81759999999986</v>
      </c>
      <c r="P41" s="14"/>
      <c r="Q41" s="14" t="s">
        <v>494</v>
      </c>
      <c r="R41" s="14">
        <f>$O41+$O42*R40/1000</f>
        <v>959.81759999999986</v>
      </c>
      <c r="S41" s="14">
        <f t="shared" ref="S41:Y41" si="2">$O41+$O42*S40/1000</f>
        <v>1330.0329599999998</v>
      </c>
      <c r="T41" s="14">
        <f t="shared" si="2"/>
        <v>1700.2483199999997</v>
      </c>
      <c r="U41" s="14">
        <f t="shared" si="2"/>
        <v>2070.4636799999994</v>
      </c>
      <c r="V41" s="14">
        <f t="shared" si="2"/>
        <v>2440.6790399999991</v>
      </c>
      <c r="W41" s="14">
        <f t="shared" si="2"/>
        <v>2810.8943999999992</v>
      </c>
      <c r="X41" s="14">
        <f t="shared" si="2"/>
        <v>3181.1097599999989</v>
      </c>
      <c r="Y41" s="14">
        <f t="shared" si="2"/>
        <v>3551.3251199999991</v>
      </c>
      <c r="Z41" s="14"/>
      <c r="AA41" s="14"/>
      <c r="AB41" s="14"/>
      <c r="AC41" s="14"/>
    </row>
    <row r="42" spans="1:29">
      <c r="A42" s="317" t="s">
        <v>495</v>
      </c>
      <c r="B42" s="317" t="s">
        <v>487</v>
      </c>
      <c r="C42" s="394">
        <v>1234.0511999999997</v>
      </c>
      <c r="D42" s="394">
        <v>1234.0511999999997</v>
      </c>
      <c r="E42" s="68"/>
      <c r="F42" s="68"/>
      <c r="G42" s="68"/>
      <c r="H42" s="68"/>
      <c r="I42" s="68"/>
      <c r="J42" s="68"/>
      <c r="K42" s="68"/>
      <c r="L42" s="68"/>
      <c r="M42" s="14"/>
      <c r="N42" s="14"/>
      <c r="O42" s="222">
        <f t="shared" ref="O42:O47" si="3">INDEX(C42:L42,1,$O$8)</f>
        <v>1234.0511999999997</v>
      </c>
      <c r="P42" s="14"/>
      <c r="Q42" s="14" t="s">
        <v>153</v>
      </c>
      <c r="R42" s="58">
        <f>R40/$O45+$O44</f>
        <v>3</v>
      </c>
      <c r="S42" s="58">
        <f t="shared" ref="S42:Y42" si="4">S40/$O45+$O44</f>
        <v>3.5</v>
      </c>
      <c r="T42" s="58">
        <f t="shared" si="4"/>
        <v>4</v>
      </c>
      <c r="U42" s="58">
        <f t="shared" si="4"/>
        <v>4.5</v>
      </c>
      <c r="V42" s="58">
        <f t="shared" si="4"/>
        <v>5</v>
      </c>
      <c r="W42" s="58">
        <f t="shared" si="4"/>
        <v>5.5</v>
      </c>
      <c r="X42" s="58">
        <f t="shared" si="4"/>
        <v>6</v>
      </c>
      <c r="Y42" s="58">
        <f t="shared" si="4"/>
        <v>6.5</v>
      </c>
      <c r="Z42" s="14"/>
      <c r="AA42" s="14"/>
      <c r="AB42" s="14"/>
      <c r="AC42" s="14"/>
    </row>
    <row r="43" spans="1:29">
      <c r="A43" s="317" t="s">
        <v>488</v>
      </c>
      <c r="B43" s="317" t="s">
        <v>484</v>
      </c>
      <c r="C43" s="394">
        <v>68558.39999999998</v>
      </c>
      <c r="D43" s="394">
        <v>109693.43999999997</v>
      </c>
      <c r="E43" s="68"/>
      <c r="F43" s="68"/>
      <c r="G43" s="68"/>
      <c r="H43" s="68"/>
      <c r="I43" s="68"/>
      <c r="J43" s="68"/>
      <c r="K43" s="68"/>
      <c r="L43" s="68"/>
      <c r="M43" s="14"/>
      <c r="N43" s="14"/>
      <c r="O43" s="222">
        <f t="shared" si="3"/>
        <v>109693.43999999997</v>
      </c>
      <c r="P43" s="14"/>
      <c r="Q43" s="14" t="s">
        <v>496</v>
      </c>
      <c r="R43" s="14">
        <f t="shared" ref="R43:Y43" si="5">($O43+$O$24)*R42/1000</f>
        <v>2676.9707309589035</v>
      </c>
      <c r="S43" s="14">
        <f t="shared" si="5"/>
        <v>3123.1325194520541</v>
      </c>
      <c r="T43" s="14">
        <f t="shared" si="5"/>
        <v>3569.2943079452048</v>
      </c>
      <c r="U43" s="14">
        <f t="shared" si="5"/>
        <v>4015.4560964383559</v>
      </c>
      <c r="V43" s="14">
        <f t="shared" si="5"/>
        <v>4461.6178849315065</v>
      </c>
      <c r="W43" s="14">
        <f t="shared" si="5"/>
        <v>4907.7796734246567</v>
      </c>
      <c r="X43" s="14">
        <f t="shared" si="5"/>
        <v>5353.9414619178069</v>
      </c>
      <c r="Y43" s="14">
        <f t="shared" si="5"/>
        <v>5800.103250410958</v>
      </c>
      <c r="Z43" s="14"/>
      <c r="AA43" s="14"/>
      <c r="AB43" s="14"/>
      <c r="AC43" s="14"/>
    </row>
    <row r="44" spans="1:29">
      <c r="A44" s="317" t="s">
        <v>489</v>
      </c>
      <c r="B44" s="317" t="s">
        <v>153</v>
      </c>
      <c r="C44" s="394">
        <v>2</v>
      </c>
      <c r="D44" s="394">
        <v>3</v>
      </c>
      <c r="E44" s="465"/>
      <c r="F44" s="465"/>
      <c r="G44" s="68"/>
      <c r="H44" s="68"/>
      <c r="I44" s="68"/>
      <c r="J44" s="68"/>
      <c r="K44" s="68"/>
      <c r="L44" s="68"/>
      <c r="M44" s="14"/>
      <c r="N44" s="14"/>
      <c r="O44" s="222">
        <f t="shared" si="3"/>
        <v>3</v>
      </c>
      <c r="P44" s="14"/>
      <c r="Q44" s="14" t="s">
        <v>201</v>
      </c>
      <c r="R44" s="14">
        <f>R43+R41</f>
        <v>3636.7883309589033</v>
      </c>
      <c r="S44" s="14">
        <f t="shared" ref="S44:Y44" si="6">S43+S41</f>
        <v>4453.1654794520537</v>
      </c>
      <c r="T44" s="14">
        <f t="shared" si="6"/>
        <v>5269.542627945204</v>
      </c>
      <c r="U44" s="14">
        <f t="shared" si="6"/>
        <v>6085.9197764383553</v>
      </c>
      <c r="V44" s="14">
        <f t="shared" si="6"/>
        <v>6902.2969249315056</v>
      </c>
      <c r="W44" s="14">
        <f t="shared" si="6"/>
        <v>7718.6740734246559</v>
      </c>
      <c r="X44" s="14">
        <f t="shared" si="6"/>
        <v>8535.0512219178054</v>
      </c>
      <c r="Y44" s="14">
        <f t="shared" si="6"/>
        <v>9351.4283704109566</v>
      </c>
      <c r="Z44" s="14"/>
      <c r="AA44" s="14"/>
      <c r="AB44" s="14"/>
      <c r="AC44" s="14"/>
    </row>
    <row r="45" spans="1:29">
      <c r="A45" s="317" t="s">
        <v>490</v>
      </c>
      <c r="B45" s="317" t="s">
        <v>491</v>
      </c>
      <c r="C45" s="394">
        <v>600</v>
      </c>
      <c r="D45" s="394">
        <v>600</v>
      </c>
      <c r="E45" s="68"/>
      <c r="F45" s="68"/>
      <c r="G45" s="68"/>
      <c r="H45" s="68"/>
      <c r="I45" s="68"/>
      <c r="J45" s="68"/>
      <c r="K45" s="68"/>
      <c r="L45" s="68"/>
      <c r="M45" s="14"/>
      <c r="N45" s="14"/>
      <c r="O45" s="222">
        <f t="shared" si="3"/>
        <v>600</v>
      </c>
      <c r="P45" s="14"/>
      <c r="Q45" s="14"/>
      <c r="R45" s="14"/>
      <c r="S45" s="14"/>
      <c r="T45" s="14"/>
      <c r="U45" s="14"/>
      <c r="V45" s="14"/>
      <c r="W45" s="14"/>
      <c r="X45" s="14"/>
      <c r="Y45" s="14"/>
      <c r="Z45" s="14"/>
      <c r="AA45" s="14"/>
      <c r="AB45" s="14"/>
      <c r="AC45" s="14"/>
    </row>
    <row r="46" spans="1:29">
      <c r="A46" s="317" t="s">
        <v>497</v>
      </c>
      <c r="B46" s="317" t="s">
        <v>153</v>
      </c>
      <c r="C46" s="394">
        <v>4</v>
      </c>
      <c r="D46" s="394">
        <v>4</v>
      </c>
      <c r="E46" s="465"/>
      <c r="F46" s="465"/>
      <c r="G46" s="68"/>
      <c r="H46" s="68"/>
      <c r="I46" s="68"/>
      <c r="J46" s="68"/>
      <c r="K46" s="68"/>
      <c r="L46" s="68"/>
      <c r="M46" s="14"/>
      <c r="N46" s="14"/>
      <c r="O46" s="222">
        <f t="shared" si="3"/>
        <v>4</v>
      </c>
      <c r="P46" s="14"/>
      <c r="Q46" s="14"/>
      <c r="R46" s="14"/>
      <c r="S46" s="14"/>
      <c r="T46" s="14"/>
      <c r="U46" s="14"/>
      <c r="V46" s="14"/>
      <c r="W46" s="14"/>
      <c r="X46" s="14"/>
      <c r="Y46" s="14"/>
      <c r="Z46" s="14"/>
      <c r="AA46" s="14"/>
      <c r="AB46" s="14"/>
      <c r="AC46" s="14"/>
    </row>
    <row r="47" spans="1:29">
      <c r="A47" s="318" t="s">
        <v>498</v>
      </c>
      <c r="B47" s="318" t="s">
        <v>153</v>
      </c>
      <c r="C47" s="394">
        <v>2</v>
      </c>
      <c r="D47" s="394">
        <v>2</v>
      </c>
      <c r="E47" s="465"/>
      <c r="F47" s="465"/>
      <c r="G47" s="68"/>
      <c r="H47" s="68"/>
      <c r="I47" s="68"/>
      <c r="J47" s="68"/>
      <c r="K47" s="68"/>
      <c r="L47" s="68"/>
      <c r="M47" s="14"/>
      <c r="N47" s="14"/>
      <c r="O47" s="223">
        <f t="shared" si="3"/>
        <v>2</v>
      </c>
      <c r="P47" s="14"/>
      <c r="Q47" s="14"/>
      <c r="R47" s="14"/>
      <c r="S47" s="14"/>
      <c r="T47" s="14"/>
      <c r="U47" s="14"/>
      <c r="V47" s="14"/>
      <c r="W47" s="14"/>
      <c r="X47" s="14"/>
      <c r="Y47" s="14"/>
      <c r="Z47" s="14"/>
      <c r="AA47" s="14"/>
      <c r="AB47" s="14"/>
      <c r="AC47" s="14"/>
    </row>
    <row r="48" spans="1:29">
      <c r="A48" s="14"/>
      <c r="B48" s="14"/>
      <c r="C48" s="224"/>
      <c r="D48" s="224"/>
      <c r="E48" s="328"/>
      <c r="F48" s="328"/>
      <c r="G48" s="328"/>
      <c r="H48" s="328"/>
      <c r="I48" s="328"/>
      <c r="J48" s="328"/>
      <c r="K48" s="328"/>
      <c r="L48" s="328"/>
      <c r="M48" s="14"/>
      <c r="N48" s="14"/>
      <c r="O48" s="14"/>
      <c r="P48" s="14"/>
      <c r="Q48" s="14"/>
      <c r="R48" s="14"/>
      <c r="S48" s="14"/>
      <c r="T48" s="14"/>
      <c r="U48" s="14"/>
      <c r="V48" s="14"/>
      <c r="W48" s="14"/>
      <c r="X48" s="14"/>
      <c r="Y48" s="14"/>
      <c r="Z48" s="14"/>
      <c r="AA48" s="14"/>
      <c r="AB48" s="14"/>
      <c r="AC48" s="14"/>
    </row>
    <row r="49" spans="1:29">
      <c r="A49" s="315" t="s">
        <v>218</v>
      </c>
      <c r="B49" s="14"/>
      <c r="C49" s="224"/>
      <c r="D49" s="224"/>
      <c r="E49" s="328"/>
      <c r="F49" s="328"/>
      <c r="G49" s="328"/>
      <c r="H49" s="328"/>
      <c r="I49" s="328"/>
      <c r="J49" s="328"/>
      <c r="K49" s="328"/>
      <c r="L49" s="328"/>
      <c r="M49" s="14"/>
      <c r="N49" s="14"/>
      <c r="O49" s="14"/>
      <c r="P49" s="14"/>
      <c r="Q49" s="14"/>
      <c r="R49" s="14"/>
      <c r="S49" s="14"/>
      <c r="T49" s="14"/>
      <c r="U49" s="14"/>
      <c r="V49" s="14"/>
      <c r="W49" s="14"/>
      <c r="X49" s="14"/>
      <c r="Y49" s="14"/>
      <c r="Z49" s="14"/>
      <c r="AA49" s="14"/>
      <c r="AB49" s="14"/>
      <c r="AC49" s="14"/>
    </row>
    <row r="50" spans="1:29">
      <c r="A50" s="316" t="s">
        <v>499</v>
      </c>
      <c r="B50" s="316" t="s">
        <v>2</v>
      </c>
      <c r="C50" s="394">
        <v>6855.8399999999983</v>
      </c>
      <c r="D50" s="394">
        <v>13711.679999999997</v>
      </c>
      <c r="E50" s="68"/>
      <c r="F50" s="68"/>
      <c r="G50" s="68"/>
      <c r="H50" s="68"/>
      <c r="I50" s="68"/>
      <c r="J50" s="68"/>
      <c r="K50" s="68"/>
      <c r="L50" s="68"/>
      <c r="M50" s="14"/>
      <c r="N50" s="14"/>
      <c r="O50" s="221">
        <f>INDEX(C50:L50,1,$O$8)</f>
        <v>13711.679999999997</v>
      </c>
      <c r="P50" s="14"/>
      <c r="Q50" s="14"/>
      <c r="R50" s="14"/>
      <c r="S50" s="14"/>
      <c r="T50" s="14"/>
      <c r="U50" s="14"/>
      <c r="V50" s="14"/>
      <c r="W50" s="14"/>
      <c r="X50" s="14"/>
      <c r="Y50" s="14"/>
      <c r="Z50" s="14"/>
      <c r="AA50" s="14"/>
      <c r="AB50" s="14"/>
      <c r="AC50" s="14"/>
    </row>
    <row r="51" spans="1:29">
      <c r="A51" s="318" t="s">
        <v>500</v>
      </c>
      <c r="B51" s="318" t="s">
        <v>501</v>
      </c>
      <c r="C51" s="394">
        <v>3.8087999999999993</v>
      </c>
      <c r="D51" s="394">
        <v>3.8087999999999993</v>
      </c>
      <c r="E51" s="465"/>
      <c r="F51" s="465"/>
      <c r="G51" s="68"/>
      <c r="H51" s="68"/>
      <c r="I51" s="68"/>
      <c r="J51" s="68"/>
      <c r="K51" s="68"/>
      <c r="L51" s="68"/>
      <c r="M51" s="14"/>
      <c r="N51" s="14"/>
      <c r="O51" s="223">
        <f>INDEX(C51:L51,1,$O$8)</f>
        <v>3.8087999999999993</v>
      </c>
      <c r="P51" s="14"/>
      <c r="Q51" s="14"/>
      <c r="R51" s="14"/>
      <c r="S51" s="14"/>
      <c r="T51" s="14"/>
      <c r="U51" s="14"/>
      <c r="V51" s="14"/>
      <c r="W51" s="14"/>
      <c r="X51" s="14"/>
      <c r="Y51" s="14"/>
      <c r="Z51" s="14"/>
      <c r="AA51" s="14"/>
      <c r="AB51" s="14"/>
      <c r="AC51" s="14"/>
    </row>
    <row r="52" spans="1:29">
      <c r="A52" s="14"/>
      <c r="B52" s="14"/>
      <c r="C52" s="224"/>
      <c r="D52" s="224"/>
      <c r="E52" s="328"/>
      <c r="F52" s="328"/>
      <c r="G52" s="328"/>
      <c r="H52" s="328"/>
      <c r="I52" s="328"/>
      <c r="J52" s="328"/>
      <c r="K52" s="328"/>
      <c r="L52" s="328"/>
      <c r="M52" s="14"/>
      <c r="N52" s="14"/>
      <c r="O52" s="14"/>
      <c r="P52" s="14"/>
      <c r="Q52" s="14"/>
      <c r="R52" s="14"/>
      <c r="S52" s="14"/>
      <c r="T52" s="14"/>
      <c r="U52" s="14"/>
      <c r="V52" s="14"/>
      <c r="W52" s="14"/>
      <c r="X52" s="14"/>
      <c r="Y52" s="14"/>
      <c r="Z52" s="14"/>
      <c r="AA52" s="14"/>
      <c r="AB52" s="14"/>
      <c r="AC52" s="14"/>
    </row>
    <row r="53" spans="1:29">
      <c r="A53" s="315" t="s">
        <v>688</v>
      </c>
      <c r="B53" s="14"/>
      <c r="C53" s="224"/>
      <c r="D53" s="224"/>
      <c r="E53" s="328"/>
      <c r="F53" s="328"/>
      <c r="G53" s="328"/>
      <c r="H53" s="328"/>
      <c r="I53" s="328"/>
      <c r="J53" s="328"/>
      <c r="K53" s="328"/>
      <c r="L53" s="328"/>
      <c r="M53" s="14"/>
      <c r="N53" s="14"/>
      <c r="O53" s="14"/>
      <c r="P53" s="14"/>
      <c r="Q53" s="14"/>
      <c r="R53" s="14"/>
      <c r="S53" s="14"/>
      <c r="T53" s="14"/>
      <c r="U53" s="14"/>
      <c r="V53" s="14"/>
      <c r="W53" s="14"/>
      <c r="X53" s="14"/>
      <c r="Y53" s="14"/>
      <c r="Z53" s="14"/>
      <c r="AA53" s="14"/>
      <c r="AB53" s="14"/>
      <c r="AC53" s="14"/>
    </row>
    <row r="54" spans="1:29">
      <c r="A54" s="316" t="s">
        <v>502</v>
      </c>
      <c r="B54" s="316" t="s">
        <v>2</v>
      </c>
      <c r="C54" s="394">
        <v>9598.1759999999977</v>
      </c>
      <c r="D54" s="394">
        <v>0</v>
      </c>
      <c r="E54" s="68"/>
      <c r="F54" s="68"/>
      <c r="G54" s="68"/>
      <c r="H54" s="68"/>
      <c r="I54" s="68"/>
      <c r="J54" s="68"/>
      <c r="K54" s="68"/>
      <c r="L54" s="68"/>
      <c r="M54" s="14"/>
      <c r="N54" s="14"/>
      <c r="O54" s="221">
        <f t="shared" ref="O54:O74" si="7">INDEX(C54:L54,1,$O$8)</f>
        <v>0</v>
      </c>
      <c r="P54" s="14"/>
      <c r="Q54" s="14"/>
      <c r="R54" s="14"/>
      <c r="S54" s="14"/>
      <c r="T54" s="14"/>
      <c r="U54" s="14"/>
      <c r="V54" s="14"/>
      <c r="W54" s="14"/>
      <c r="X54" s="14"/>
      <c r="Y54" s="14"/>
      <c r="Z54" s="14"/>
      <c r="AA54" s="14"/>
      <c r="AB54" s="14"/>
      <c r="AC54" s="14"/>
    </row>
    <row r="55" spans="1:29">
      <c r="A55" s="317" t="s">
        <v>736</v>
      </c>
      <c r="B55" s="317" t="s">
        <v>503</v>
      </c>
      <c r="C55" s="394">
        <v>617.02559999999983</v>
      </c>
      <c r="D55" s="394">
        <v>0</v>
      </c>
      <c r="E55" s="68"/>
      <c r="F55" s="68"/>
      <c r="G55" s="68"/>
      <c r="H55" s="68"/>
      <c r="I55" s="68"/>
      <c r="J55" s="68"/>
      <c r="K55" s="68"/>
      <c r="L55" s="68"/>
      <c r="M55" s="14"/>
      <c r="N55" s="14"/>
      <c r="O55" s="222">
        <f t="shared" si="7"/>
        <v>0</v>
      </c>
      <c r="P55" s="14"/>
      <c r="Q55" s="14"/>
      <c r="R55" s="14"/>
      <c r="S55" s="14"/>
      <c r="T55" s="14"/>
      <c r="U55" s="14"/>
      <c r="V55" s="14"/>
      <c r="W55" s="14"/>
      <c r="X55" s="14"/>
      <c r="Y55" s="14"/>
      <c r="Z55" s="14"/>
      <c r="AA55" s="14"/>
      <c r="AB55" s="14"/>
      <c r="AC55" s="14"/>
    </row>
    <row r="56" spans="1:29">
      <c r="A56" s="317" t="s">
        <v>504</v>
      </c>
      <c r="B56" s="317" t="s">
        <v>2</v>
      </c>
      <c r="C56" s="394">
        <v>34279.19999999999</v>
      </c>
      <c r="D56" s="394">
        <v>0</v>
      </c>
      <c r="E56" s="68"/>
      <c r="F56" s="68"/>
      <c r="G56" s="68"/>
      <c r="H56" s="68"/>
      <c r="I56" s="68"/>
      <c r="J56" s="68"/>
      <c r="K56" s="68"/>
      <c r="L56" s="68"/>
      <c r="M56" s="14"/>
      <c r="N56" s="14"/>
      <c r="O56" s="222">
        <f t="shared" si="7"/>
        <v>0</v>
      </c>
      <c r="P56" s="14"/>
      <c r="Q56" s="14"/>
      <c r="R56" s="14"/>
      <c r="S56" s="14"/>
      <c r="T56" s="14"/>
      <c r="U56" s="14"/>
      <c r="V56" s="14"/>
      <c r="W56" s="14"/>
      <c r="X56" s="14"/>
      <c r="Y56" s="14"/>
      <c r="Z56" s="14"/>
      <c r="AA56" s="14"/>
      <c r="AB56" s="14"/>
      <c r="AC56" s="14"/>
    </row>
    <row r="57" spans="1:29">
      <c r="A57" s="317" t="s">
        <v>505</v>
      </c>
      <c r="B57" s="317" t="s">
        <v>506</v>
      </c>
      <c r="C57" s="394">
        <v>1165.4928</v>
      </c>
      <c r="D57" s="394">
        <v>0</v>
      </c>
      <c r="E57" s="68"/>
      <c r="F57" s="68"/>
      <c r="G57" s="68"/>
      <c r="H57" s="68"/>
      <c r="I57" s="68"/>
      <c r="J57" s="68"/>
      <c r="K57" s="68"/>
      <c r="L57" s="68"/>
      <c r="M57" s="224"/>
      <c r="N57" s="224"/>
      <c r="O57" s="225">
        <f t="shared" si="7"/>
        <v>0</v>
      </c>
      <c r="P57" s="14"/>
      <c r="Q57" s="14"/>
      <c r="R57" s="14"/>
      <c r="S57" s="14"/>
      <c r="T57" s="14"/>
      <c r="U57" s="14"/>
      <c r="V57" s="14"/>
      <c r="W57" s="14"/>
      <c r="X57" s="14"/>
      <c r="Y57" s="14"/>
      <c r="Z57" s="14"/>
      <c r="AA57" s="14"/>
      <c r="AB57" s="14"/>
      <c r="AC57" s="14"/>
    </row>
    <row r="58" spans="1:29">
      <c r="A58" s="317" t="s">
        <v>507</v>
      </c>
      <c r="B58" s="317" t="s">
        <v>2</v>
      </c>
      <c r="C58" s="394">
        <v>150000</v>
      </c>
      <c r="D58" s="394">
        <v>0</v>
      </c>
      <c r="E58" s="68"/>
      <c r="F58" s="68"/>
      <c r="G58" s="68"/>
      <c r="H58" s="68"/>
      <c r="I58" s="68"/>
      <c r="J58" s="68"/>
      <c r="K58" s="68"/>
      <c r="L58" s="68"/>
      <c r="M58" s="224"/>
      <c r="N58" s="224"/>
      <c r="O58" s="225">
        <f t="shared" si="7"/>
        <v>0</v>
      </c>
      <c r="P58" s="14"/>
      <c r="Q58" s="14"/>
      <c r="R58" s="14"/>
      <c r="S58" s="14"/>
      <c r="T58" s="14"/>
      <c r="U58" s="14"/>
      <c r="V58" s="14"/>
      <c r="W58" s="14"/>
      <c r="X58" s="14"/>
      <c r="Y58" s="14"/>
      <c r="Z58" s="14"/>
      <c r="AA58" s="14"/>
      <c r="AB58" s="14"/>
      <c r="AC58" s="14"/>
    </row>
    <row r="59" spans="1:29">
      <c r="A59" s="317" t="s">
        <v>508</v>
      </c>
      <c r="B59" s="317" t="s">
        <v>2</v>
      </c>
      <c r="C59" s="394">
        <v>34279.19999999999</v>
      </c>
      <c r="D59" s="394">
        <v>0</v>
      </c>
      <c r="E59" s="68"/>
      <c r="F59" s="68"/>
      <c r="G59" s="68"/>
      <c r="H59" s="68"/>
      <c r="I59" s="68"/>
      <c r="J59" s="68"/>
      <c r="K59" s="68"/>
      <c r="L59" s="68"/>
      <c r="M59" s="224"/>
      <c r="N59" s="224"/>
      <c r="O59" s="225">
        <f t="shared" si="7"/>
        <v>0</v>
      </c>
      <c r="P59" s="14"/>
      <c r="Q59" s="14"/>
      <c r="R59" s="14"/>
      <c r="S59" s="14"/>
      <c r="T59" s="14"/>
      <c r="U59" s="14"/>
      <c r="V59" s="14"/>
      <c r="W59" s="14"/>
      <c r="X59" s="14"/>
      <c r="Y59" s="14"/>
      <c r="Z59" s="14"/>
      <c r="AA59" s="14"/>
      <c r="AB59" s="14"/>
      <c r="AC59" s="14"/>
    </row>
    <row r="60" spans="1:29">
      <c r="A60" s="317" t="s">
        <v>509</v>
      </c>
      <c r="B60" s="317" t="s">
        <v>506</v>
      </c>
      <c r="C60" s="394">
        <v>822.70079999999984</v>
      </c>
      <c r="D60" s="394">
        <v>0</v>
      </c>
      <c r="E60" s="68"/>
      <c r="F60" s="68"/>
      <c r="G60" s="68"/>
      <c r="H60" s="68"/>
      <c r="I60" s="68"/>
      <c r="J60" s="68"/>
      <c r="K60" s="68"/>
      <c r="L60" s="68"/>
      <c r="M60" s="224"/>
      <c r="N60" s="224"/>
      <c r="O60" s="225">
        <f t="shared" si="7"/>
        <v>0</v>
      </c>
      <c r="P60" s="14"/>
      <c r="Q60" s="14"/>
      <c r="R60" s="14"/>
      <c r="S60" s="14"/>
      <c r="T60" s="14"/>
      <c r="U60" s="14"/>
      <c r="V60" s="14"/>
      <c r="W60" s="14"/>
      <c r="X60" s="14"/>
      <c r="Y60" s="14"/>
      <c r="Z60" s="14"/>
      <c r="AA60" s="14"/>
      <c r="AB60" s="14"/>
      <c r="AC60" s="14"/>
    </row>
    <row r="61" spans="1:29">
      <c r="A61" s="317" t="s">
        <v>862</v>
      </c>
      <c r="B61" s="317" t="s">
        <v>2</v>
      </c>
      <c r="C61" s="394">
        <v>4113.503999999999</v>
      </c>
      <c r="D61" s="394">
        <v>0</v>
      </c>
      <c r="E61" s="68"/>
      <c r="F61" s="68"/>
      <c r="G61" s="68"/>
      <c r="H61" s="68"/>
      <c r="I61" s="68"/>
      <c r="J61" s="68"/>
      <c r="K61" s="68"/>
      <c r="L61" s="68"/>
      <c r="M61" s="224"/>
      <c r="N61" s="224"/>
      <c r="O61" s="225">
        <f t="shared" si="7"/>
        <v>0</v>
      </c>
      <c r="P61" s="14"/>
      <c r="Q61" s="14"/>
      <c r="R61" s="14"/>
      <c r="S61" s="14"/>
      <c r="T61" s="14"/>
      <c r="U61" s="14"/>
      <c r="V61" s="14"/>
      <c r="W61" s="14"/>
      <c r="X61" s="14"/>
      <c r="Y61" s="14"/>
      <c r="Z61" s="14"/>
      <c r="AA61" s="14"/>
      <c r="AB61" s="14"/>
      <c r="AC61" s="14"/>
    </row>
    <row r="62" spans="1:29">
      <c r="A62" s="317" t="s">
        <v>863</v>
      </c>
      <c r="B62" s="317" t="s">
        <v>503</v>
      </c>
      <c r="C62" s="394">
        <v>205.67519999999996</v>
      </c>
      <c r="D62" s="394">
        <v>0</v>
      </c>
      <c r="E62" s="68"/>
      <c r="F62" s="68"/>
      <c r="G62" s="68"/>
      <c r="H62" s="68"/>
      <c r="I62" s="68"/>
      <c r="J62" s="68"/>
      <c r="K62" s="68"/>
      <c r="L62" s="68"/>
      <c r="M62" s="224"/>
      <c r="N62" s="224"/>
      <c r="O62" s="225">
        <f t="shared" si="7"/>
        <v>0</v>
      </c>
      <c r="P62" s="14"/>
      <c r="Q62" s="14"/>
      <c r="R62" s="14"/>
      <c r="S62" s="14"/>
      <c r="T62" s="14"/>
      <c r="U62" s="14"/>
      <c r="V62" s="14"/>
      <c r="W62" s="14"/>
      <c r="X62" s="14"/>
      <c r="Y62" s="14"/>
      <c r="Z62" s="14"/>
      <c r="AA62" s="14"/>
      <c r="AB62" s="14"/>
      <c r="AC62" s="14"/>
    </row>
    <row r="63" spans="1:29">
      <c r="A63" s="317" t="s">
        <v>864</v>
      </c>
      <c r="B63" s="317" t="s">
        <v>506</v>
      </c>
      <c r="C63" s="394">
        <v>191.96351999999999</v>
      </c>
      <c r="D63" s="394">
        <v>0</v>
      </c>
      <c r="E63" s="68"/>
      <c r="F63" s="68"/>
      <c r="G63" s="68"/>
      <c r="H63" s="68"/>
      <c r="I63" s="68"/>
      <c r="J63" s="68"/>
      <c r="K63" s="68"/>
      <c r="L63" s="68"/>
      <c r="M63" s="224"/>
      <c r="N63" s="224"/>
      <c r="O63" s="225">
        <f t="shared" si="7"/>
        <v>0</v>
      </c>
      <c r="P63" s="14"/>
      <c r="Q63" s="14"/>
      <c r="R63" s="14"/>
      <c r="S63" s="14"/>
      <c r="T63" s="14"/>
      <c r="U63" s="14"/>
      <c r="V63" s="14"/>
      <c r="W63" s="14"/>
      <c r="X63" s="14"/>
      <c r="Y63" s="14"/>
      <c r="Z63" s="14"/>
      <c r="AA63" s="14"/>
      <c r="AB63" s="14"/>
      <c r="AC63" s="14"/>
    </row>
    <row r="64" spans="1:29">
      <c r="A64" s="317" t="s">
        <v>735</v>
      </c>
      <c r="B64" s="317" t="s">
        <v>2</v>
      </c>
      <c r="C64" s="394">
        <v>0</v>
      </c>
      <c r="D64" s="394">
        <v>457970.11199999991</v>
      </c>
      <c r="E64" s="68"/>
      <c r="F64" s="68"/>
      <c r="G64" s="68"/>
      <c r="H64" s="68"/>
      <c r="I64" s="68"/>
      <c r="J64" s="68"/>
      <c r="K64" s="68"/>
      <c r="L64" s="68"/>
      <c r="M64" s="224"/>
      <c r="N64" s="224"/>
      <c r="O64" s="225">
        <f t="shared" si="7"/>
        <v>457970.11199999991</v>
      </c>
      <c r="P64" s="14"/>
      <c r="Q64" s="14"/>
      <c r="R64" s="14"/>
      <c r="S64" s="14"/>
      <c r="T64" s="14"/>
      <c r="U64" s="14"/>
      <c r="V64" s="14"/>
      <c r="W64" s="14"/>
      <c r="X64" s="14"/>
      <c r="Y64" s="14"/>
      <c r="Z64" s="14"/>
      <c r="AA64" s="14"/>
      <c r="AB64" s="14"/>
      <c r="AC64" s="14"/>
    </row>
    <row r="65" spans="1:29">
      <c r="A65" s="317" t="s">
        <v>735</v>
      </c>
      <c r="B65" s="317" t="s">
        <v>506</v>
      </c>
      <c r="C65" s="394">
        <v>0</v>
      </c>
      <c r="D65" s="394">
        <v>233.09855999999999</v>
      </c>
      <c r="E65" s="68"/>
      <c r="F65" s="68"/>
      <c r="G65" s="68"/>
      <c r="H65" s="68"/>
      <c r="I65" s="68"/>
      <c r="J65" s="68"/>
      <c r="K65" s="68"/>
      <c r="L65" s="68"/>
      <c r="M65" s="224"/>
      <c r="N65" s="224"/>
      <c r="O65" s="225">
        <f t="shared" si="7"/>
        <v>233.09855999999999</v>
      </c>
      <c r="P65" s="14"/>
      <c r="Q65" s="14"/>
      <c r="R65" s="14"/>
      <c r="S65" s="14"/>
      <c r="T65" s="14"/>
      <c r="U65" s="14"/>
      <c r="V65" s="14"/>
      <c r="W65" s="14"/>
      <c r="X65" s="14"/>
      <c r="Y65" s="14"/>
      <c r="Z65" s="14"/>
      <c r="AA65" s="14"/>
      <c r="AB65" s="14"/>
      <c r="AC65" s="14"/>
    </row>
    <row r="66" spans="1:29">
      <c r="A66" s="317" t="s">
        <v>737</v>
      </c>
      <c r="B66" s="317" t="s">
        <v>503</v>
      </c>
      <c r="C66" s="394">
        <v>0</v>
      </c>
      <c r="D66" s="394">
        <v>130.26095999999998</v>
      </c>
      <c r="E66" s="68"/>
      <c r="F66" s="68"/>
      <c r="G66" s="68"/>
      <c r="H66" s="68"/>
      <c r="I66" s="68"/>
      <c r="J66" s="68"/>
      <c r="K66" s="68"/>
      <c r="L66" s="68"/>
      <c r="M66" s="224"/>
      <c r="N66" s="224"/>
      <c r="O66" s="225">
        <f t="shared" si="7"/>
        <v>130.26095999999998</v>
      </c>
      <c r="P66" s="14"/>
      <c r="Q66" s="14"/>
      <c r="R66" s="14"/>
      <c r="S66" s="14"/>
      <c r="T66" s="14"/>
      <c r="U66" s="14"/>
      <c r="V66" s="14"/>
      <c r="W66" s="14"/>
      <c r="X66" s="14"/>
      <c r="Y66" s="14"/>
      <c r="Z66" s="14"/>
      <c r="AA66" s="14"/>
      <c r="AB66" s="14"/>
      <c r="AC66" s="14"/>
    </row>
    <row r="67" spans="1:29">
      <c r="A67" s="317" t="s">
        <v>690</v>
      </c>
      <c r="B67" s="317" t="s">
        <v>2</v>
      </c>
      <c r="C67" s="394">
        <v>0</v>
      </c>
      <c r="D67" s="394">
        <v>41135.040000000001</v>
      </c>
      <c r="E67" s="68"/>
      <c r="F67" s="68"/>
      <c r="G67" s="68"/>
      <c r="H67" s="68"/>
      <c r="I67" s="68"/>
      <c r="J67" s="68"/>
      <c r="K67" s="68"/>
      <c r="L67" s="68"/>
      <c r="M67" s="224"/>
      <c r="N67" s="224"/>
      <c r="O67" s="225">
        <f t="shared" si="7"/>
        <v>41135.040000000001</v>
      </c>
      <c r="P67" s="14"/>
      <c r="Q67" s="14"/>
      <c r="R67" s="14"/>
      <c r="S67" s="14"/>
      <c r="T67" s="14"/>
      <c r="U67" s="14"/>
      <c r="V67" s="14"/>
      <c r="W67" s="14"/>
      <c r="X67" s="14"/>
      <c r="Y67" s="14"/>
      <c r="Z67" s="14"/>
      <c r="AA67" s="14"/>
      <c r="AB67" s="14"/>
      <c r="AC67" s="14"/>
    </row>
    <row r="68" spans="1:29">
      <c r="A68" s="317" t="s">
        <v>689</v>
      </c>
      <c r="B68" s="317" t="s">
        <v>506</v>
      </c>
      <c r="C68" s="394">
        <v>0</v>
      </c>
      <c r="D68" s="394">
        <v>904.97087999999997</v>
      </c>
      <c r="E68" s="68"/>
      <c r="F68" s="68"/>
      <c r="G68" s="68"/>
      <c r="H68" s="68"/>
      <c r="I68" s="68"/>
      <c r="J68" s="68"/>
      <c r="K68" s="68"/>
      <c r="L68" s="68"/>
      <c r="M68" s="224"/>
      <c r="N68" s="224"/>
      <c r="O68" s="225">
        <f t="shared" si="7"/>
        <v>904.97087999999997</v>
      </c>
      <c r="P68" s="14"/>
      <c r="Q68" s="14"/>
      <c r="R68" s="14"/>
      <c r="S68" s="14"/>
      <c r="T68" s="14"/>
      <c r="U68" s="14"/>
      <c r="V68" s="14"/>
      <c r="W68" s="14"/>
      <c r="X68" s="14"/>
      <c r="Y68" s="14"/>
      <c r="Z68" s="14"/>
      <c r="AA68" s="14"/>
      <c r="AB68" s="14"/>
      <c r="AC68" s="14"/>
    </row>
    <row r="69" spans="1:29">
      <c r="A69" s="317" t="s">
        <v>510</v>
      </c>
      <c r="B69" s="317" t="s">
        <v>2</v>
      </c>
      <c r="C69" s="394">
        <v>27423.359999999993</v>
      </c>
      <c r="D69" s="394">
        <v>27423.359999999993</v>
      </c>
      <c r="E69" s="68"/>
      <c r="F69" s="68"/>
      <c r="G69" s="68"/>
      <c r="H69" s="68"/>
      <c r="I69" s="68"/>
      <c r="J69" s="68"/>
      <c r="K69" s="68"/>
      <c r="L69" s="68"/>
      <c r="M69" s="224"/>
      <c r="N69" s="224"/>
      <c r="O69" s="225">
        <f t="shared" si="7"/>
        <v>27423.359999999993</v>
      </c>
      <c r="P69" s="14"/>
      <c r="Q69" s="14"/>
      <c r="R69" s="14"/>
      <c r="S69" s="14"/>
      <c r="T69" s="14"/>
      <c r="U69" s="14"/>
      <c r="V69" s="14"/>
      <c r="W69" s="14"/>
      <c r="X69" s="14"/>
      <c r="Y69" s="14"/>
      <c r="Z69" s="14"/>
      <c r="AA69" s="14"/>
      <c r="AB69" s="14"/>
      <c r="AC69" s="14"/>
    </row>
    <row r="70" spans="1:29">
      <c r="A70" s="317" t="s">
        <v>511</v>
      </c>
      <c r="B70" s="317" t="s">
        <v>506</v>
      </c>
      <c r="C70" s="394">
        <v>411.35039999999992</v>
      </c>
      <c r="D70" s="394">
        <v>411.35039999999992</v>
      </c>
      <c r="E70" s="68"/>
      <c r="F70" s="68"/>
      <c r="G70" s="68"/>
      <c r="H70" s="68"/>
      <c r="I70" s="68"/>
      <c r="J70" s="68"/>
      <c r="K70" s="68"/>
      <c r="L70" s="68"/>
      <c r="M70" s="224"/>
      <c r="N70" s="224"/>
      <c r="O70" s="225">
        <f t="shared" si="7"/>
        <v>411.35039999999992</v>
      </c>
      <c r="P70" s="14"/>
      <c r="Q70" s="14"/>
      <c r="R70" s="14"/>
      <c r="S70" s="14"/>
      <c r="T70" s="14"/>
      <c r="U70" s="14"/>
      <c r="V70" s="14"/>
      <c r="W70" s="14"/>
      <c r="X70" s="14"/>
      <c r="Y70" s="14"/>
      <c r="Z70" s="14"/>
      <c r="AA70" s="14"/>
      <c r="AB70" s="14"/>
      <c r="AC70" s="14"/>
    </row>
    <row r="71" spans="1:29">
      <c r="A71" s="317" t="s">
        <v>823</v>
      </c>
      <c r="B71" s="317" t="s">
        <v>822</v>
      </c>
      <c r="C71" s="394">
        <v>8227.007999999998</v>
      </c>
      <c r="D71" s="394">
        <v>12340.511999999999</v>
      </c>
      <c r="E71" s="68"/>
      <c r="F71" s="68"/>
      <c r="G71" s="68"/>
      <c r="H71" s="68"/>
      <c r="I71" s="68"/>
      <c r="J71" s="68"/>
      <c r="K71" s="68"/>
      <c r="L71" s="68"/>
      <c r="M71" s="224"/>
      <c r="N71" s="224"/>
      <c r="O71" s="225">
        <f t="shared" si="7"/>
        <v>12340.511999999999</v>
      </c>
      <c r="P71" s="14"/>
      <c r="Q71" s="14"/>
      <c r="R71" s="14"/>
      <c r="S71" s="14"/>
      <c r="T71" s="14"/>
      <c r="U71" s="14"/>
      <c r="V71" s="14"/>
      <c r="W71" s="14"/>
      <c r="X71" s="14"/>
      <c r="Y71" s="14"/>
      <c r="Z71" s="14"/>
      <c r="AA71" s="14"/>
      <c r="AB71" s="14"/>
      <c r="AC71" s="14"/>
    </row>
    <row r="72" spans="1:29">
      <c r="A72" s="317" t="s">
        <v>512</v>
      </c>
      <c r="B72" s="317" t="s">
        <v>513</v>
      </c>
      <c r="C72" s="394">
        <v>2056.7519999999995</v>
      </c>
      <c r="D72" s="394">
        <v>4113.503999999999</v>
      </c>
      <c r="E72" s="68"/>
      <c r="F72" s="68"/>
      <c r="G72" s="68"/>
      <c r="H72" s="68"/>
      <c r="I72" s="68"/>
      <c r="J72" s="68"/>
      <c r="K72" s="68"/>
      <c r="L72" s="68"/>
      <c r="M72" s="224"/>
      <c r="N72" s="224"/>
      <c r="O72" s="225">
        <f t="shared" si="7"/>
        <v>4113.503999999999</v>
      </c>
      <c r="P72" s="14"/>
      <c r="Q72" s="14"/>
      <c r="R72" s="14"/>
      <c r="S72" s="14"/>
      <c r="T72" s="14"/>
      <c r="U72" s="14"/>
      <c r="V72" s="14"/>
      <c r="W72" s="14"/>
      <c r="X72" s="14"/>
      <c r="Y72" s="14"/>
      <c r="Z72" s="14"/>
      <c r="AA72" s="14"/>
      <c r="AB72" s="14"/>
      <c r="AC72" s="14"/>
    </row>
    <row r="73" spans="1:29">
      <c r="A73" s="317" t="s">
        <v>514</v>
      </c>
      <c r="B73" s="317" t="s">
        <v>2</v>
      </c>
      <c r="C73" s="394">
        <v>12340.511999999999</v>
      </c>
      <c r="D73" s="394">
        <v>17825.183999999997</v>
      </c>
      <c r="E73" s="68"/>
      <c r="F73" s="68"/>
      <c r="G73" s="68"/>
      <c r="H73" s="68"/>
      <c r="I73" s="68"/>
      <c r="J73" s="68"/>
      <c r="K73" s="68"/>
      <c r="L73" s="68"/>
      <c r="M73" s="224"/>
      <c r="N73" s="224"/>
      <c r="O73" s="225">
        <f t="shared" si="7"/>
        <v>17825.183999999997</v>
      </c>
      <c r="P73" s="14"/>
      <c r="Q73" s="14"/>
      <c r="R73" s="14"/>
      <c r="S73" s="14"/>
      <c r="T73" s="14"/>
      <c r="U73" s="14"/>
      <c r="V73" s="14"/>
      <c r="W73" s="14"/>
      <c r="X73" s="14"/>
      <c r="Y73" s="14"/>
      <c r="Z73" s="14"/>
      <c r="AA73" s="14"/>
      <c r="AB73" s="14"/>
      <c r="AC73" s="14"/>
    </row>
    <row r="74" spans="1:29">
      <c r="A74" s="318" t="s">
        <v>515</v>
      </c>
      <c r="B74" s="318" t="s">
        <v>516</v>
      </c>
      <c r="C74" s="394">
        <v>754.14239999999984</v>
      </c>
      <c r="D74" s="394">
        <v>1234.0511999999997</v>
      </c>
      <c r="E74" s="68"/>
      <c r="F74" s="68"/>
      <c r="G74" s="68"/>
      <c r="H74" s="68"/>
      <c r="I74" s="68"/>
      <c r="J74" s="68"/>
      <c r="K74" s="68"/>
      <c r="L74" s="68"/>
      <c r="M74" s="224"/>
      <c r="N74" s="224"/>
      <c r="O74" s="226">
        <f t="shared" si="7"/>
        <v>1234.0511999999997</v>
      </c>
      <c r="P74" s="14"/>
      <c r="Q74" s="14"/>
      <c r="R74" s="14"/>
      <c r="S74" s="14"/>
      <c r="T74" s="14"/>
      <c r="U74" s="14"/>
      <c r="V74" s="14"/>
      <c r="W74" s="14"/>
      <c r="X74" s="14"/>
      <c r="Y74" s="14"/>
      <c r="Z74" s="14"/>
      <c r="AA74" s="14"/>
      <c r="AB74" s="14"/>
      <c r="AC74" s="14"/>
    </row>
    <row r="75" spans="1:29">
      <c r="A75" s="14"/>
      <c r="B75" s="14"/>
      <c r="C75" s="227"/>
      <c r="D75" s="227"/>
      <c r="E75" s="329"/>
      <c r="F75" s="329"/>
      <c r="G75" s="329"/>
      <c r="H75" s="329"/>
      <c r="I75" s="329"/>
      <c r="J75" s="329"/>
      <c r="K75" s="329"/>
      <c r="L75" s="329"/>
      <c r="M75" s="224"/>
      <c r="N75" s="224"/>
      <c r="O75" s="227"/>
      <c r="P75" s="14"/>
      <c r="Q75" s="14"/>
      <c r="R75" s="14"/>
      <c r="S75" s="14"/>
      <c r="T75" s="14"/>
      <c r="U75" s="14"/>
      <c r="V75" s="14"/>
      <c r="W75" s="14"/>
      <c r="X75" s="14"/>
      <c r="Y75" s="14"/>
      <c r="Z75" s="14"/>
      <c r="AA75" s="14"/>
      <c r="AB75" s="14"/>
      <c r="AC75" s="14"/>
    </row>
    <row r="76" spans="1:29">
      <c r="A76" s="315" t="s">
        <v>691</v>
      </c>
      <c r="B76" s="14"/>
      <c r="C76" s="227"/>
      <c r="D76" s="227"/>
      <c r="E76" s="329"/>
      <c r="F76" s="329"/>
      <c r="G76" s="329"/>
      <c r="H76" s="329"/>
      <c r="I76" s="329"/>
      <c r="J76" s="329"/>
      <c r="K76" s="329"/>
      <c r="L76" s="329"/>
      <c r="M76" s="227"/>
      <c r="N76" s="224"/>
      <c r="O76" s="227"/>
      <c r="P76" s="14"/>
      <c r="Q76" s="14"/>
      <c r="R76" s="14"/>
      <c r="S76" s="14"/>
      <c r="T76" s="14"/>
      <c r="U76" s="14"/>
      <c r="V76" s="14"/>
      <c r="W76" s="14"/>
      <c r="X76" s="14"/>
      <c r="Y76" s="14"/>
      <c r="Z76" s="14"/>
      <c r="AA76" s="14"/>
      <c r="AB76" s="14"/>
      <c r="AC76" s="14"/>
    </row>
    <row r="77" spans="1:29">
      <c r="A77" s="316" t="s">
        <v>931</v>
      </c>
      <c r="B77" s="316" t="s">
        <v>2</v>
      </c>
      <c r="C77" s="394">
        <v>342792</v>
      </c>
      <c r="D77" s="394">
        <v>609408</v>
      </c>
      <c r="E77" s="68"/>
      <c r="F77" s="68"/>
      <c r="G77" s="68"/>
      <c r="H77" s="68"/>
      <c r="I77" s="68"/>
      <c r="J77" s="68"/>
      <c r="K77" s="68"/>
      <c r="L77" s="68"/>
      <c r="M77" s="224"/>
      <c r="N77" s="224"/>
      <c r="O77" s="228">
        <f t="shared" ref="O77:O84" si="8">INDEX(C77:L77,1,$O$8)</f>
        <v>609408</v>
      </c>
      <c r="P77" s="14"/>
      <c r="Q77" s="14"/>
      <c r="R77" s="14"/>
      <c r="S77" s="14"/>
      <c r="T77" s="14"/>
      <c r="U77" s="14"/>
      <c r="V77" s="14"/>
      <c r="W77" s="14"/>
      <c r="X77" s="14"/>
      <c r="Y77" s="14"/>
      <c r="Z77" s="14"/>
      <c r="AA77" s="14"/>
      <c r="AB77" s="14"/>
      <c r="AC77" s="14"/>
    </row>
    <row r="78" spans="1:29">
      <c r="A78" s="317" t="s">
        <v>932</v>
      </c>
      <c r="B78" s="317" t="s">
        <v>503</v>
      </c>
      <c r="C78" s="394">
        <v>6.8558399999999997</v>
      </c>
      <c r="D78" s="394">
        <v>114.26399999999997</v>
      </c>
      <c r="E78" s="465"/>
      <c r="F78" s="465"/>
      <c r="G78" s="68"/>
      <c r="H78" s="68"/>
      <c r="I78" s="68"/>
      <c r="J78" s="68"/>
      <c r="K78" s="68"/>
      <c r="L78" s="68"/>
      <c r="M78" s="224"/>
      <c r="N78" s="224"/>
      <c r="O78" s="225">
        <f t="shared" si="8"/>
        <v>114.26399999999997</v>
      </c>
      <c r="P78" s="14"/>
      <c r="Q78" s="14"/>
      <c r="R78" s="14"/>
      <c r="S78" s="14"/>
      <c r="T78" s="14"/>
      <c r="U78" s="14"/>
      <c r="V78" s="14"/>
      <c r="W78" s="14"/>
      <c r="X78" s="14"/>
      <c r="Y78" s="14"/>
      <c r="Z78" s="14"/>
      <c r="AA78" s="14"/>
      <c r="AB78" s="14"/>
      <c r="AC78" s="14"/>
    </row>
    <row r="79" spans="1:29">
      <c r="A79" s="317" t="s">
        <v>933</v>
      </c>
      <c r="B79" s="317" t="s">
        <v>2</v>
      </c>
      <c r="C79" s="394">
        <v>274233.59999999992</v>
      </c>
      <c r="D79" s="394">
        <v>452485.43999999989</v>
      </c>
      <c r="E79" s="68"/>
      <c r="F79" s="68"/>
      <c r="G79" s="68"/>
      <c r="H79" s="68"/>
      <c r="I79" s="68"/>
      <c r="J79" s="68"/>
      <c r="K79" s="68"/>
      <c r="L79" s="68"/>
      <c r="M79" s="224"/>
      <c r="N79" s="224"/>
      <c r="O79" s="225">
        <f t="shared" si="8"/>
        <v>452485.43999999989</v>
      </c>
      <c r="P79" s="14"/>
      <c r="Q79" s="14"/>
      <c r="R79" s="14"/>
      <c r="S79" s="14"/>
      <c r="T79" s="14"/>
      <c r="U79" s="14"/>
      <c r="V79" s="14"/>
      <c r="W79" s="14"/>
      <c r="X79" s="14"/>
      <c r="Y79" s="14"/>
      <c r="Z79" s="14"/>
      <c r="AA79" s="14"/>
      <c r="AB79" s="14"/>
      <c r="AC79" s="14"/>
    </row>
    <row r="80" spans="1:29">
      <c r="A80" s="317" t="s">
        <v>934</v>
      </c>
      <c r="B80" s="317" t="s">
        <v>962</v>
      </c>
      <c r="C80" s="394">
        <v>2056.7519999999995</v>
      </c>
      <c r="D80" s="394">
        <v>2468.1023999999993</v>
      </c>
      <c r="E80" s="68"/>
      <c r="F80" s="68"/>
      <c r="G80" s="68"/>
      <c r="H80" s="68"/>
      <c r="I80" s="68"/>
      <c r="J80" s="68"/>
      <c r="K80" s="68"/>
      <c r="L80" s="68"/>
      <c r="M80" s="224"/>
      <c r="N80" s="224"/>
      <c r="O80" s="225">
        <f t="shared" si="8"/>
        <v>2468.1023999999993</v>
      </c>
      <c r="P80" s="14"/>
      <c r="Q80" s="14"/>
      <c r="R80" s="14"/>
      <c r="S80" s="14"/>
      <c r="T80" s="14"/>
      <c r="U80" s="14"/>
      <c r="V80" s="14"/>
      <c r="W80" s="14"/>
      <c r="X80" s="14"/>
      <c r="Y80" s="14"/>
      <c r="Z80" s="14"/>
      <c r="AA80" s="14"/>
      <c r="AB80" s="14"/>
      <c r="AC80" s="14"/>
    </row>
    <row r="81" spans="1:29">
      <c r="A81" s="317" t="s">
        <v>854</v>
      </c>
      <c r="B81" s="317" t="s">
        <v>825</v>
      </c>
      <c r="C81" s="394">
        <v>219.38687999999999</v>
      </c>
      <c r="D81" s="394">
        <v>370.21535999999998</v>
      </c>
      <c r="E81" s="68"/>
      <c r="F81" s="68"/>
      <c r="G81" s="68"/>
      <c r="H81" s="68"/>
      <c r="I81" s="68"/>
      <c r="J81" s="68"/>
      <c r="K81" s="68"/>
      <c r="L81" s="68"/>
      <c r="M81" s="224"/>
      <c r="N81" s="224"/>
      <c r="O81" s="225">
        <f t="shared" si="8"/>
        <v>370.21535999999998</v>
      </c>
      <c r="P81" s="14"/>
      <c r="Q81" s="14"/>
      <c r="R81" s="14"/>
      <c r="S81" s="14"/>
      <c r="T81" s="14"/>
      <c r="U81" s="14"/>
      <c r="V81" s="14"/>
      <c r="W81" s="14"/>
      <c r="X81" s="14"/>
      <c r="Y81" s="14"/>
      <c r="Z81" s="14"/>
      <c r="AA81" s="14"/>
      <c r="AB81" s="14"/>
      <c r="AC81" s="14"/>
    </row>
    <row r="82" spans="1:29">
      <c r="A82" s="317" t="s">
        <v>853</v>
      </c>
      <c r="B82" s="317" t="s">
        <v>2</v>
      </c>
      <c r="C82" s="394">
        <v>109693.43999999997</v>
      </c>
      <c r="D82" s="394">
        <v>137116.79999999996</v>
      </c>
      <c r="E82" s="68"/>
      <c r="F82" s="68"/>
      <c r="G82" s="68"/>
      <c r="H82" s="68"/>
      <c r="I82" s="68"/>
      <c r="J82" s="68"/>
      <c r="K82" s="68"/>
      <c r="L82" s="68"/>
      <c r="M82" s="224"/>
      <c r="N82" s="224"/>
      <c r="O82" s="225">
        <f t="shared" si="8"/>
        <v>137116.79999999996</v>
      </c>
      <c r="P82" s="14"/>
      <c r="Q82" s="14"/>
      <c r="R82" s="14"/>
      <c r="S82" s="14"/>
      <c r="T82" s="14"/>
      <c r="U82" s="14"/>
      <c r="V82" s="14"/>
      <c r="W82" s="14"/>
      <c r="X82" s="14"/>
      <c r="Y82" s="14"/>
      <c r="Z82" s="14"/>
      <c r="AA82" s="14"/>
      <c r="AB82" s="14"/>
      <c r="AC82" s="14"/>
    </row>
    <row r="83" spans="1:29">
      <c r="A83" s="317" t="s">
        <v>935</v>
      </c>
      <c r="B83" s="317" t="s">
        <v>732</v>
      </c>
      <c r="C83" s="394">
        <v>329.08032000000003</v>
      </c>
      <c r="D83" s="394">
        <v>548.46719999999993</v>
      </c>
      <c r="E83" s="68"/>
      <c r="F83" s="68"/>
      <c r="G83" s="68"/>
      <c r="H83" s="68"/>
      <c r="I83" s="68"/>
      <c r="J83" s="68"/>
      <c r="K83" s="68"/>
      <c r="L83" s="68"/>
      <c r="M83" s="224"/>
      <c r="N83" s="224"/>
      <c r="O83" s="225">
        <f t="shared" si="8"/>
        <v>548.46719999999993</v>
      </c>
      <c r="P83" s="14"/>
      <c r="Q83" s="14"/>
      <c r="R83" s="14"/>
      <c r="S83" s="14"/>
      <c r="T83" s="14"/>
      <c r="U83" s="14"/>
      <c r="V83" s="14"/>
      <c r="W83" s="14"/>
      <c r="X83" s="14"/>
      <c r="Y83" s="14"/>
      <c r="Z83" s="14"/>
      <c r="AA83" s="14"/>
      <c r="AB83" s="14"/>
      <c r="AC83" s="14"/>
    </row>
    <row r="84" spans="1:29">
      <c r="A84" s="318" t="s">
        <v>936</v>
      </c>
      <c r="B84" s="318" t="s">
        <v>733</v>
      </c>
      <c r="C84" s="394">
        <v>3.4279199999999999</v>
      </c>
      <c r="D84" s="394">
        <v>3.4279199999999999</v>
      </c>
      <c r="E84" s="465"/>
      <c r="F84" s="465"/>
      <c r="G84" s="68"/>
      <c r="H84" s="68"/>
      <c r="I84" s="68"/>
      <c r="J84" s="68"/>
      <c r="K84" s="68"/>
      <c r="L84" s="68"/>
      <c r="M84" s="224"/>
      <c r="N84" s="224"/>
      <c r="O84" s="226">
        <f t="shared" si="8"/>
        <v>3.4279199999999999</v>
      </c>
      <c r="P84" s="14"/>
      <c r="Q84" s="14"/>
      <c r="R84" s="14"/>
      <c r="S84" s="14"/>
      <c r="T84" s="14"/>
      <c r="U84" s="14"/>
      <c r="V84" s="14"/>
      <c r="W84" s="14"/>
      <c r="X84" s="14"/>
      <c r="Y84" s="14"/>
      <c r="Z84" s="14"/>
      <c r="AA84" s="14"/>
      <c r="AB84" s="14"/>
      <c r="AC84" s="14"/>
    </row>
    <row r="85" spans="1:29">
      <c r="A85" s="14"/>
      <c r="B85" s="14"/>
      <c r="C85" s="224"/>
      <c r="D85" s="224"/>
      <c r="E85" s="328"/>
      <c r="F85" s="328"/>
      <c r="G85" s="328"/>
      <c r="H85" s="328"/>
      <c r="I85" s="328"/>
      <c r="J85" s="328"/>
      <c r="K85" s="328"/>
      <c r="L85" s="328"/>
      <c r="M85" s="224"/>
      <c r="N85" s="224"/>
      <c r="O85" s="224"/>
      <c r="P85" s="14"/>
      <c r="Q85" s="14"/>
      <c r="R85" s="14"/>
      <c r="S85" s="14"/>
      <c r="T85" s="14"/>
      <c r="U85" s="14"/>
      <c r="V85" s="14"/>
      <c r="W85" s="14"/>
      <c r="X85" s="14"/>
      <c r="Y85" s="14"/>
      <c r="Z85" s="14"/>
      <c r="AA85" s="14"/>
      <c r="AB85" s="14"/>
      <c r="AC85" s="14"/>
    </row>
    <row r="86" spans="1:29">
      <c r="A86" s="315" t="s">
        <v>158</v>
      </c>
      <c r="B86" s="14"/>
      <c r="C86" s="224"/>
      <c r="D86" s="224"/>
      <c r="E86" s="328"/>
      <c r="F86" s="328"/>
      <c r="G86" s="328"/>
      <c r="H86" s="328"/>
      <c r="I86" s="328"/>
      <c r="J86" s="328"/>
      <c r="K86" s="328"/>
      <c r="L86" s="328"/>
      <c r="M86" s="224"/>
      <c r="N86" s="224"/>
      <c r="O86" s="224"/>
      <c r="P86" s="104" t="s">
        <v>827</v>
      </c>
      <c r="Q86" s="14"/>
      <c r="R86" s="14"/>
      <c r="S86" s="14"/>
      <c r="T86" s="14"/>
      <c r="U86" s="14"/>
      <c r="V86" s="14"/>
      <c r="W86" s="14"/>
      <c r="X86" s="14"/>
      <c r="Y86" s="14"/>
      <c r="Z86" s="14"/>
      <c r="AA86" s="14"/>
      <c r="AB86" s="14"/>
      <c r="AC86" s="14"/>
    </row>
    <row r="87" spans="1:29">
      <c r="A87" s="316" t="s">
        <v>517</v>
      </c>
      <c r="B87" s="316" t="s">
        <v>2</v>
      </c>
      <c r="C87" s="394">
        <v>102837.59999999998</v>
      </c>
      <c r="D87" s="394">
        <v>130260.95999999996</v>
      </c>
      <c r="E87" s="68"/>
      <c r="F87" s="68"/>
      <c r="G87" s="68"/>
      <c r="H87" s="68"/>
      <c r="I87" s="68"/>
      <c r="J87" s="68"/>
      <c r="K87" s="68"/>
      <c r="L87" s="68"/>
      <c r="M87" s="224"/>
      <c r="N87" s="224"/>
      <c r="O87" s="228">
        <f t="shared" ref="O87:O101" si="9">INDEX(C87:L87,1,$O$8)</f>
        <v>130260.95999999996</v>
      </c>
      <c r="P87" s="228">
        <f>IF($P$8=0,O87,INDEX(C87:L87,1,$P$8))</f>
        <v>102837.59999999998</v>
      </c>
      <c r="Q87" s="14"/>
      <c r="R87" s="14"/>
      <c r="S87" s="14"/>
      <c r="T87" s="14"/>
      <c r="U87" s="14"/>
      <c r="V87" s="14"/>
      <c r="W87" s="14"/>
      <c r="X87" s="14"/>
      <c r="Y87" s="14"/>
      <c r="Z87" s="14"/>
      <c r="AA87" s="14"/>
      <c r="AB87" s="14"/>
      <c r="AC87" s="14"/>
    </row>
    <row r="88" spans="1:29">
      <c r="A88" s="317" t="s">
        <v>518</v>
      </c>
      <c r="B88" s="317" t="s">
        <v>858</v>
      </c>
      <c r="C88" s="394">
        <v>126.14745600000001</v>
      </c>
      <c r="D88" s="394">
        <v>185.10767999999999</v>
      </c>
      <c r="E88" s="68"/>
      <c r="F88" s="68"/>
      <c r="G88" s="68"/>
      <c r="H88" s="68"/>
      <c r="I88" s="68"/>
      <c r="J88" s="68"/>
      <c r="K88" s="68"/>
      <c r="L88" s="68"/>
      <c r="M88" s="224"/>
      <c r="N88" s="224"/>
      <c r="O88" s="225">
        <f t="shared" si="9"/>
        <v>185.10767999999999</v>
      </c>
      <c r="P88" s="225">
        <f t="shared" ref="P88:P96" si="10">IF($P$8=0,O88,INDEX(C88:L88,1,$P$8))</f>
        <v>126.14745600000001</v>
      </c>
      <c r="Q88" s="14"/>
      <c r="R88" s="14"/>
      <c r="S88" s="14"/>
      <c r="T88" s="14"/>
      <c r="U88" s="14"/>
      <c r="V88" s="14"/>
      <c r="W88" s="14"/>
      <c r="X88" s="14"/>
      <c r="Y88" s="14"/>
      <c r="Z88" s="14"/>
      <c r="AA88" s="14"/>
      <c r="AB88" s="14"/>
      <c r="AC88" s="14"/>
    </row>
    <row r="89" spans="1:29">
      <c r="A89" s="317" t="s">
        <v>520</v>
      </c>
      <c r="B89" s="317" t="s">
        <v>2</v>
      </c>
      <c r="C89" s="394">
        <v>16454.015999999996</v>
      </c>
      <c r="D89" s="394">
        <v>34279.19999999999</v>
      </c>
      <c r="E89" s="68"/>
      <c r="F89" s="68"/>
      <c r="G89" s="68"/>
      <c r="H89" s="68"/>
      <c r="I89" s="68"/>
      <c r="J89" s="68"/>
      <c r="K89" s="68"/>
      <c r="L89" s="68"/>
      <c r="M89" s="224"/>
      <c r="N89" s="224"/>
      <c r="O89" s="225">
        <f t="shared" si="9"/>
        <v>34279.19999999999</v>
      </c>
      <c r="P89" s="225">
        <f t="shared" si="10"/>
        <v>16454.015999999996</v>
      </c>
      <c r="Q89" s="14"/>
      <c r="R89" s="14"/>
      <c r="S89" s="14"/>
      <c r="T89" s="14"/>
      <c r="U89" s="14"/>
      <c r="V89" s="14"/>
      <c r="W89" s="14"/>
      <c r="X89" s="14"/>
      <c r="Y89" s="14"/>
      <c r="Z89" s="14"/>
      <c r="AA89" s="14"/>
      <c r="AB89" s="14"/>
      <c r="AC89" s="14"/>
    </row>
    <row r="90" spans="1:29">
      <c r="A90" s="317" t="s">
        <v>521</v>
      </c>
      <c r="B90" s="317" t="s">
        <v>519</v>
      </c>
      <c r="C90" s="394">
        <v>2742.3359999999998</v>
      </c>
      <c r="D90" s="394">
        <v>4799.0879999999988</v>
      </c>
      <c r="E90" s="68"/>
      <c r="F90" s="68"/>
      <c r="G90" s="68"/>
      <c r="H90" s="68"/>
      <c r="I90" s="68"/>
      <c r="J90" s="68"/>
      <c r="K90" s="68"/>
      <c r="L90" s="68"/>
      <c r="M90" s="224"/>
      <c r="N90" s="224"/>
      <c r="O90" s="225">
        <f t="shared" si="9"/>
        <v>4799.0879999999988</v>
      </c>
      <c r="P90" s="225">
        <f t="shared" si="10"/>
        <v>2742.3359999999998</v>
      </c>
      <c r="Q90" s="14"/>
      <c r="R90" s="14"/>
      <c r="S90" s="14"/>
      <c r="T90" s="14"/>
      <c r="U90" s="14"/>
      <c r="V90" s="14"/>
      <c r="W90" s="14"/>
      <c r="X90" s="14"/>
      <c r="Y90" s="14"/>
      <c r="Z90" s="14"/>
      <c r="AA90" s="14"/>
      <c r="AB90" s="14"/>
      <c r="AC90" s="14"/>
    </row>
    <row r="91" spans="1:29">
      <c r="A91" s="317" t="s">
        <v>522</v>
      </c>
      <c r="B91" s="317" t="s">
        <v>2</v>
      </c>
      <c r="C91" s="394">
        <v>19196.351999999995</v>
      </c>
      <c r="D91" s="394">
        <v>23995.439999999995</v>
      </c>
      <c r="E91" s="68"/>
      <c r="F91" s="68"/>
      <c r="G91" s="68"/>
      <c r="H91" s="68"/>
      <c r="I91" s="68"/>
      <c r="J91" s="68"/>
      <c r="K91" s="68"/>
      <c r="L91" s="68"/>
      <c r="M91" s="224"/>
      <c r="N91" s="224"/>
      <c r="O91" s="225">
        <f t="shared" si="9"/>
        <v>23995.439999999995</v>
      </c>
      <c r="P91" s="225">
        <f t="shared" si="10"/>
        <v>19196.351999999995</v>
      </c>
      <c r="Q91" s="14"/>
      <c r="R91" s="14"/>
      <c r="S91" s="14"/>
      <c r="T91" s="14"/>
      <c r="U91" s="14"/>
      <c r="V91" s="14"/>
      <c r="W91" s="14"/>
      <c r="X91" s="14"/>
      <c r="Y91" s="14"/>
      <c r="Z91" s="14"/>
      <c r="AA91" s="14"/>
      <c r="AB91" s="14"/>
      <c r="AC91" s="14"/>
    </row>
    <row r="92" spans="1:29">
      <c r="A92" s="317" t="s">
        <v>523</v>
      </c>
      <c r="B92" s="317" t="s">
        <v>519</v>
      </c>
      <c r="C92" s="394">
        <v>3427.9199999999992</v>
      </c>
      <c r="D92" s="394">
        <v>5484.6719999999996</v>
      </c>
      <c r="E92" s="68"/>
      <c r="F92" s="68"/>
      <c r="G92" s="68"/>
      <c r="H92" s="68"/>
      <c r="I92" s="68"/>
      <c r="J92" s="68"/>
      <c r="K92" s="68"/>
      <c r="L92" s="68"/>
      <c r="M92" s="224"/>
      <c r="N92" s="224"/>
      <c r="O92" s="225">
        <f t="shared" si="9"/>
        <v>5484.6719999999996</v>
      </c>
      <c r="P92" s="225">
        <f t="shared" si="10"/>
        <v>3427.9199999999992</v>
      </c>
      <c r="Q92" s="14"/>
      <c r="R92" s="14"/>
      <c r="S92" s="14"/>
      <c r="T92" s="14"/>
      <c r="U92" s="14"/>
      <c r="V92" s="14"/>
      <c r="W92" s="14"/>
      <c r="X92" s="14"/>
      <c r="Y92" s="14"/>
      <c r="Z92" s="14"/>
      <c r="AA92" s="14"/>
      <c r="AB92" s="14"/>
      <c r="AC92" s="14"/>
    </row>
    <row r="93" spans="1:29">
      <c r="A93" s="317" t="s">
        <v>524</v>
      </c>
      <c r="B93" s="317" t="s">
        <v>2</v>
      </c>
      <c r="C93" s="394">
        <v>16454.015999999996</v>
      </c>
      <c r="D93" s="394">
        <v>34279.19999999999</v>
      </c>
      <c r="E93" s="68"/>
      <c r="F93" s="68"/>
      <c r="G93" s="68"/>
      <c r="H93" s="68"/>
      <c r="I93" s="68"/>
      <c r="J93" s="68"/>
      <c r="K93" s="68"/>
      <c r="L93" s="68"/>
      <c r="M93" s="224"/>
      <c r="N93" s="224"/>
      <c r="O93" s="225">
        <f t="shared" si="9"/>
        <v>34279.19999999999</v>
      </c>
      <c r="P93" s="225">
        <f t="shared" si="10"/>
        <v>16454.015999999996</v>
      </c>
      <c r="Q93" s="14"/>
      <c r="R93" s="14"/>
      <c r="S93" s="14"/>
      <c r="T93" s="14"/>
      <c r="U93" s="14"/>
      <c r="V93" s="14"/>
      <c r="W93" s="14"/>
      <c r="X93" s="14"/>
      <c r="Y93" s="14"/>
      <c r="Z93" s="14"/>
      <c r="AA93" s="14"/>
      <c r="AB93" s="14"/>
      <c r="AC93" s="14"/>
    </row>
    <row r="94" spans="1:29">
      <c r="A94" s="317" t="s">
        <v>525</v>
      </c>
      <c r="B94" s="317" t="s">
        <v>519</v>
      </c>
      <c r="C94" s="394">
        <v>2742.3359999999998</v>
      </c>
      <c r="D94" s="394">
        <v>6855.8399999999983</v>
      </c>
      <c r="E94" s="68"/>
      <c r="F94" s="68"/>
      <c r="G94" s="68"/>
      <c r="H94" s="68"/>
      <c r="I94" s="68"/>
      <c r="J94" s="68"/>
      <c r="K94" s="68"/>
      <c r="L94" s="68"/>
      <c r="M94" s="224"/>
      <c r="N94" s="224"/>
      <c r="O94" s="225">
        <f t="shared" si="9"/>
        <v>6855.8399999999983</v>
      </c>
      <c r="P94" s="225">
        <f t="shared" si="10"/>
        <v>2742.3359999999998</v>
      </c>
      <c r="Q94" s="14"/>
      <c r="R94" s="14"/>
      <c r="S94" s="14"/>
      <c r="T94" s="14"/>
      <c r="U94" s="14"/>
      <c r="V94" s="14"/>
      <c r="W94" s="14"/>
      <c r="X94" s="14"/>
      <c r="Y94" s="14"/>
      <c r="Z94" s="14"/>
      <c r="AA94" s="14"/>
      <c r="AB94" s="14"/>
      <c r="AC94" s="14"/>
    </row>
    <row r="95" spans="1:29">
      <c r="A95" s="317" t="s">
        <v>526</v>
      </c>
      <c r="B95" s="317" t="s">
        <v>2</v>
      </c>
      <c r="C95" s="394">
        <v>16454.015999999996</v>
      </c>
      <c r="D95" s="394">
        <v>34279.19999999999</v>
      </c>
      <c r="E95" s="68"/>
      <c r="F95" s="68"/>
      <c r="G95" s="68"/>
      <c r="H95" s="68"/>
      <c r="I95" s="68"/>
      <c r="J95" s="68"/>
      <c r="K95" s="68"/>
      <c r="L95" s="68"/>
      <c r="M95" s="224"/>
      <c r="N95" s="224"/>
      <c r="O95" s="225">
        <f t="shared" si="9"/>
        <v>34279.19999999999</v>
      </c>
      <c r="P95" s="225">
        <f t="shared" si="10"/>
        <v>16454.015999999996</v>
      </c>
      <c r="Q95" s="14"/>
      <c r="R95" s="14"/>
      <c r="S95" s="14"/>
      <c r="T95" s="14"/>
      <c r="U95" s="14"/>
      <c r="V95" s="14"/>
      <c r="W95" s="14"/>
      <c r="X95" s="14"/>
      <c r="Y95" s="14"/>
      <c r="Z95" s="14"/>
      <c r="AA95" s="14"/>
      <c r="AB95" s="14"/>
      <c r="AC95" s="14"/>
    </row>
    <row r="96" spans="1:29">
      <c r="A96" s="317" t="s">
        <v>527</v>
      </c>
      <c r="B96" s="317" t="s">
        <v>519</v>
      </c>
      <c r="C96" s="394">
        <v>4799.0879999999988</v>
      </c>
      <c r="D96" s="394">
        <v>7541.4239999999982</v>
      </c>
      <c r="E96" s="68"/>
      <c r="F96" s="68"/>
      <c r="G96" s="68"/>
      <c r="H96" s="68"/>
      <c r="I96" s="68"/>
      <c r="J96" s="68"/>
      <c r="K96" s="68"/>
      <c r="L96" s="68"/>
      <c r="M96" s="224"/>
      <c r="N96" s="224"/>
      <c r="O96" s="226">
        <f t="shared" si="9"/>
        <v>7541.4239999999982</v>
      </c>
      <c r="P96" s="226">
        <f t="shared" si="10"/>
        <v>4799.0879999999988</v>
      </c>
      <c r="Q96" s="14"/>
      <c r="R96" s="14"/>
      <c r="S96" s="14"/>
      <c r="T96" s="14"/>
      <c r="U96" s="14"/>
      <c r="V96" s="14"/>
      <c r="W96" s="14"/>
      <c r="X96" s="14"/>
      <c r="Y96" s="14"/>
      <c r="Z96" s="14"/>
      <c r="AA96" s="14"/>
      <c r="AB96" s="14"/>
      <c r="AC96" s="14"/>
    </row>
    <row r="97" spans="1:29">
      <c r="A97" s="317" t="s">
        <v>1033</v>
      </c>
      <c r="B97" s="317" t="s">
        <v>2</v>
      </c>
      <c r="C97" s="394">
        <v>54846.719999999987</v>
      </c>
      <c r="D97" s="394">
        <v>54846.719999999987</v>
      </c>
      <c r="E97" s="68"/>
      <c r="F97" s="68"/>
      <c r="G97" s="68"/>
      <c r="H97" s="68"/>
      <c r="I97" s="68"/>
      <c r="J97" s="68"/>
      <c r="K97" s="68"/>
      <c r="L97" s="68"/>
      <c r="M97" s="224"/>
      <c r="N97" s="224"/>
      <c r="O97" s="225">
        <f>INDEX(C97:L97,1,$O$8)</f>
        <v>54846.719999999987</v>
      </c>
      <c r="P97" s="225"/>
      <c r="Q97" s="14"/>
      <c r="R97" s="14"/>
      <c r="S97" s="14"/>
      <c r="T97" s="14"/>
      <c r="U97" s="14"/>
      <c r="V97" s="14"/>
      <c r="W97" s="14"/>
      <c r="X97" s="14"/>
      <c r="Y97" s="14"/>
      <c r="Z97" s="14"/>
      <c r="AA97" s="14"/>
      <c r="AB97" s="14"/>
      <c r="AC97" s="14"/>
    </row>
    <row r="98" spans="1:29">
      <c r="A98" s="318" t="s">
        <v>1033</v>
      </c>
      <c r="B98" s="318" t="s">
        <v>506</v>
      </c>
      <c r="C98" s="394">
        <v>137.11679999999998</v>
      </c>
      <c r="D98" s="394">
        <v>137.11679999999998</v>
      </c>
      <c r="E98" s="68"/>
      <c r="F98" s="68"/>
      <c r="G98" s="68"/>
      <c r="H98" s="68"/>
      <c r="I98" s="68"/>
      <c r="J98" s="68"/>
      <c r="K98" s="68"/>
      <c r="L98" s="68"/>
      <c r="M98" s="224"/>
      <c r="N98" s="224"/>
      <c r="O98" s="226">
        <f>INDEX(C98:L98,1,$O$8)</f>
        <v>137.11679999999998</v>
      </c>
      <c r="P98" s="226"/>
      <c r="Q98" s="14"/>
      <c r="R98" s="14"/>
      <c r="S98" s="14"/>
      <c r="T98" s="14"/>
      <c r="U98" s="14"/>
      <c r="V98" s="14"/>
      <c r="W98" s="14"/>
      <c r="X98" s="14"/>
      <c r="Y98" s="14"/>
      <c r="Z98" s="14"/>
      <c r="AA98" s="14"/>
      <c r="AB98" s="14"/>
      <c r="AC98" s="14"/>
    </row>
    <row r="99" spans="1:29">
      <c r="A99" s="14"/>
      <c r="B99" s="14"/>
      <c r="C99" s="224"/>
      <c r="D99" s="224"/>
      <c r="E99" s="328"/>
      <c r="F99" s="328"/>
      <c r="G99" s="328"/>
      <c r="H99" s="328"/>
      <c r="I99" s="328"/>
      <c r="J99" s="328"/>
      <c r="K99" s="328"/>
      <c r="L99" s="328"/>
      <c r="M99" s="224"/>
      <c r="N99" s="224"/>
      <c r="O99" s="224"/>
      <c r="P99" s="14"/>
      <c r="Q99" s="14"/>
      <c r="R99" s="14"/>
      <c r="S99" s="14"/>
      <c r="T99" s="14"/>
      <c r="U99" s="14"/>
      <c r="V99" s="14"/>
      <c r="W99" s="14"/>
      <c r="X99" s="14"/>
      <c r="Y99" s="14"/>
      <c r="Z99" s="14"/>
      <c r="AA99" s="14"/>
      <c r="AB99" s="14"/>
      <c r="AC99" s="14"/>
    </row>
    <row r="100" spans="1:29">
      <c r="A100" s="220" t="s">
        <v>528</v>
      </c>
      <c r="B100" s="220" t="s">
        <v>435</v>
      </c>
      <c r="C100" s="466">
        <v>0.11</v>
      </c>
      <c r="D100" s="466">
        <v>0.11</v>
      </c>
      <c r="E100" s="34"/>
      <c r="F100" s="34"/>
      <c r="G100" s="68"/>
      <c r="H100" s="68"/>
      <c r="I100" s="68"/>
      <c r="J100" s="68"/>
      <c r="K100" s="68"/>
      <c r="L100" s="68"/>
      <c r="M100" s="224"/>
      <c r="N100" s="224"/>
      <c r="O100" s="229">
        <f t="shared" si="9"/>
        <v>0.11</v>
      </c>
      <c r="P100" s="14"/>
      <c r="Q100" s="14"/>
      <c r="R100" s="14"/>
      <c r="S100" s="14"/>
      <c r="T100" s="14"/>
      <c r="U100" s="14"/>
      <c r="V100" s="14"/>
      <c r="W100" s="14"/>
      <c r="X100" s="14"/>
      <c r="Y100" s="14"/>
      <c r="Z100" s="14"/>
      <c r="AA100" s="14"/>
      <c r="AB100" s="14"/>
      <c r="AC100" s="14"/>
    </row>
    <row r="101" spans="1:29">
      <c r="A101" s="220" t="s">
        <v>529</v>
      </c>
      <c r="B101" s="220" t="s">
        <v>435</v>
      </c>
      <c r="C101" s="466">
        <v>0.2</v>
      </c>
      <c r="D101" s="466">
        <v>0.2</v>
      </c>
      <c r="E101" s="34"/>
      <c r="F101" s="34"/>
      <c r="G101" s="68"/>
      <c r="H101" s="68"/>
      <c r="I101" s="68"/>
      <c r="J101" s="68"/>
      <c r="K101" s="68"/>
      <c r="L101" s="68"/>
      <c r="M101" s="224"/>
      <c r="N101" s="224"/>
      <c r="O101" s="229">
        <f t="shared" si="9"/>
        <v>0.2</v>
      </c>
      <c r="P101" s="14"/>
      <c r="Q101" s="14"/>
      <c r="R101" s="14"/>
      <c r="S101" s="14"/>
      <c r="T101" s="14"/>
      <c r="U101" s="14"/>
      <c r="V101" s="14"/>
      <c r="W101" s="14"/>
      <c r="X101" s="14"/>
      <c r="Y101" s="14"/>
      <c r="Z101" s="14"/>
      <c r="AA101" s="14"/>
      <c r="AB101" s="14"/>
      <c r="AC101" s="14"/>
    </row>
    <row r="102" spans="1:29">
      <c r="A102" s="14"/>
      <c r="B102" s="14"/>
      <c r="C102" s="224"/>
      <c r="D102" s="224"/>
      <c r="E102" s="328"/>
      <c r="F102" s="328"/>
      <c r="G102" s="328"/>
      <c r="H102" s="328"/>
      <c r="I102" s="328"/>
      <c r="J102" s="328"/>
      <c r="K102" s="328"/>
      <c r="L102" s="328"/>
      <c r="M102" s="224"/>
      <c r="N102" s="224"/>
      <c r="O102" s="224"/>
      <c r="P102" s="14"/>
      <c r="Q102" s="14"/>
      <c r="R102" s="14"/>
      <c r="S102" s="14"/>
      <c r="T102" s="14"/>
      <c r="U102" s="14"/>
      <c r="V102" s="14"/>
      <c r="W102" s="14"/>
      <c r="X102" s="14"/>
      <c r="Y102" s="14"/>
      <c r="Z102" s="14"/>
      <c r="AA102" s="14"/>
      <c r="AB102" s="14"/>
      <c r="AC102" s="14"/>
    </row>
    <row r="103" spans="1:29">
      <c r="A103" s="315" t="s">
        <v>169</v>
      </c>
      <c r="B103" s="14"/>
      <c r="C103" s="224"/>
      <c r="D103" s="224"/>
      <c r="E103" s="328"/>
      <c r="F103" s="328"/>
      <c r="G103" s="328"/>
      <c r="H103" s="328"/>
      <c r="I103" s="328"/>
      <c r="J103" s="328"/>
      <c r="K103" s="328"/>
      <c r="L103" s="328"/>
      <c r="M103" s="224"/>
      <c r="N103" s="224"/>
      <c r="O103" s="224"/>
      <c r="P103" s="14"/>
      <c r="Q103" s="14"/>
      <c r="R103" s="14"/>
      <c r="S103" s="14"/>
      <c r="T103" s="14"/>
      <c r="U103" s="14"/>
      <c r="V103" s="14"/>
      <c r="W103" s="14"/>
      <c r="X103" s="14"/>
      <c r="Y103" s="14"/>
      <c r="Z103" s="14"/>
      <c r="AA103" s="14"/>
      <c r="AB103" s="14"/>
      <c r="AC103" s="14"/>
    </row>
    <row r="104" spans="1:29">
      <c r="A104" s="316" t="s">
        <v>530</v>
      </c>
      <c r="B104" s="316" t="s">
        <v>2</v>
      </c>
      <c r="C104" s="394">
        <v>4113.503999999999</v>
      </c>
      <c r="D104" s="394">
        <v>0</v>
      </c>
      <c r="E104" s="68"/>
      <c r="F104" s="68"/>
      <c r="G104" s="68"/>
      <c r="H104" s="68"/>
      <c r="I104" s="68"/>
      <c r="J104" s="68"/>
      <c r="K104" s="68"/>
      <c r="L104" s="68"/>
      <c r="M104" s="224"/>
      <c r="N104" s="224"/>
      <c r="O104" s="228">
        <f t="shared" ref="O104:O113" si="11">INDEX(C104:L104,1,$O$8)</f>
        <v>0</v>
      </c>
      <c r="P104" s="14"/>
      <c r="Q104" s="14"/>
      <c r="R104" s="14"/>
      <c r="S104" s="14"/>
      <c r="T104" s="14"/>
      <c r="U104" s="14"/>
      <c r="V104" s="14"/>
      <c r="W104" s="14"/>
      <c r="X104" s="14"/>
      <c r="Y104" s="14"/>
      <c r="Z104" s="14"/>
      <c r="AA104" s="14"/>
      <c r="AB104" s="14"/>
      <c r="AC104" s="14"/>
    </row>
    <row r="105" spans="1:29">
      <c r="A105" s="317" t="s">
        <v>531</v>
      </c>
      <c r="B105" s="317" t="s">
        <v>503</v>
      </c>
      <c r="C105" s="394">
        <v>41.135040000000004</v>
      </c>
      <c r="D105" s="394">
        <v>0</v>
      </c>
      <c r="E105" s="68"/>
      <c r="F105" s="68"/>
      <c r="G105" s="68"/>
      <c r="H105" s="68"/>
      <c r="I105" s="68"/>
      <c r="J105" s="68"/>
      <c r="K105" s="68"/>
      <c r="L105" s="68"/>
      <c r="M105" s="224"/>
      <c r="N105" s="224"/>
      <c r="O105" s="225">
        <f t="shared" si="11"/>
        <v>0</v>
      </c>
      <c r="P105" s="14"/>
      <c r="Q105" s="14"/>
      <c r="R105" s="14"/>
      <c r="S105" s="14"/>
      <c r="T105" s="14"/>
      <c r="U105" s="14"/>
      <c r="V105" s="14"/>
      <c r="W105" s="14"/>
      <c r="X105" s="14"/>
      <c r="Y105" s="14"/>
      <c r="Z105" s="14"/>
      <c r="AA105" s="14"/>
      <c r="AB105" s="14"/>
      <c r="AC105" s="14"/>
    </row>
    <row r="106" spans="1:29">
      <c r="A106" s="317" t="s">
        <v>532</v>
      </c>
      <c r="B106" s="317" t="s">
        <v>2</v>
      </c>
      <c r="C106" s="394">
        <v>6855.8399999999983</v>
      </c>
      <c r="D106" s="394">
        <v>0</v>
      </c>
      <c r="E106" s="68"/>
      <c r="F106" s="68"/>
      <c r="G106" s="68"/>
      <c r="H106" s="68"/>
      <c r="I106" s="68"/>
      <c r="J106" s="68"/>
      <c r="K106" s="68"/>
      <c r="L106" s="68"/>
      <c r="M106" s="224"/>
      <c r="N106" s="224"/>
      <c r="O106" s="225">
        <f t="shared" si="11"/>
        <v>0</v>
      </c>
      <c r="P106" s="14"/>
      <c r="Q106" s="14"/>
      <c r="R106" s="14"/>
      <c r="S106" s="14"/>
      <c r="T106" s="14"/>
      <c r="U106" s="14"/>
      <c r="V106" s="14"/>
      <c r="W106" s="14"/>
      <c r="X106" s="14"/>
      <c r="Y106" s="14"/>
      <c r="Z106" s="14"/>
      <c r="AA106" s="14"/>
      <c r="AB106" s="14"/>
      <c r="AC106" s="14"/>
    </row>
    <row r="107" spans="1:29">
      <c r="A107" s="317" t="s">
        <v>735</v>
      </c>
      <c r="B107" s="317" t="s">
        <v>2</v>
      </c>
      <c r="C107" s="394">
        <v>0</v>
      </c>
      <c r="D107" s="394">
        <v>6855.8399999999983</v>
      </c>
      <c r="E107" s="68"/>
      <c r="F107" s="68"/>
      <c r="G107" s="68"/>
      <c r="H107" s="68"/>
      <c r="I107" s="68"/>
      <c r="J107" s="68"/>
      <c r="K107" s="68"/>
      <c r="L107" s="68"/>
      <c r="M107" s="224"/>
      <c r="N107" s="224"/>
      <c r="O107" s="225">
        <f t="shared" si="11"/>
        <v>6855.8399999999983</v>
      </c>
      <c r="P107" s="14"/>
      <c r="Q107" s="14"/>
      <c r="R107" s="14"/>
      <c r="S107" s="14"/>
      <c r="T107" s="14"/>
      <c r="U107" s="14"/>
      <c r="V107" s="14"/>
      <c r="W107" s="14"/>
      <c r="X107" s="14"/>
      <c r="Y107" s="14"/>
      <c r="Z107" s="14"/>
      <c r="AA107" s="14"/>
      <c r="AB107" s="14"/>
      <c r="AC107" s="14"/>
    </row>
    <row r="108" spans="1:29">
      <c r="A108" s="317" t="s">
        <v>931</v>
      </c>
      <c r="B108" s="317" t="s">
        <v>2</v>
      </c>
      <c r="C108" s="394">
        <v>6855.8399999999983</v>
      </c>
      <c r="D108" s="394">
        <v>6855.8399999999983</v>
      </c>
      <c r="E108" s="68"/>
      <c r="F108" s="68"/>
      <c r="G108" s="68"/>
      <c r="H108" s="68"/>
      <c r="I108" s="68"/>
      <c r="J108" s="68"/>
      <c r="K108" s="68"/>
      <c r="L108" s="68"/>
      <c r="M108" s="224"/>
      <c r="N108" s="224"/>
      <c r="O108" s="225">
        <f t="shared" si="11"/>
        <v>6855.8399999999983</v>
      </c>
      <c r="P108" s="14"/>
      <c r="Q108" s="14"/>
      <c r="R108" s="14"/>
      <c r="S108" s="14"/>
      <c r="T108" s="14"/>
      <c r="U108" s="14"/>
      <c r="V108" s="14"/>
      <c r="W108" s="14"/>
      <c r="X108" s="14"/>
      <c r="Y108" s="14"/>
      <c r="Z108" s="14"/>
      <c r="AA108" s="14"/>
      <c r="AB108" s="14"/>
      <c r="AC108" s="14"/>
    </row>
    <row r="109" spans="1:29">
      <c r="A109" s="317" t="s">
        <v>261</v>
      </c>
      <c r="B109" s="317" t="s">
        <v>2</v>
      </c>
      <c r="C109" s="394">
        <v>2742.3359999999998</v>
      </c>
      <c r="D109" s="394">
        <v>4113.503999999999</v>
      </c>
      <c r="E109" s="68"/>
      <c r="F109" s="68"/>
      <c r="G109" s="68"/>
      <c r="H109" s="68"/>
      <c r="I109" s="68"/>
      <c r="J109" s="68"/>
      <c r="K109" s="68"/>
      <c r="L109" s="68"/>
      <c r="M109" s="224"/>
      <c r="N109" s="224"/>
      <c r="O109" s="225">
        <f t="shared" si="11"/>
        <v>4113.503999999999</v>
      </c>
      <c r="P109" s="14"/>
      <c r="Q109" s="14"/>
      <c r="R109" s="14"/>
      <c r="S109" s="14"/>
      <c r="T109" s="14"/>
      <c r="U109" s="14"/>
      <c r="V109" s="14"/>
      <c r="W109" s="14"/>
      <c r="X109" s="14"/>
      <c r="Y109" s="14"/>
      <c r="Z109" s="14"/>
      <c r="AA109" s="14"/>
      <c r="AB109" s="14"/>
      <c r="AC109" s="14"/>
    </row>
    <row r="110" spans="1:29">
      <c r="A110" s="317" t="s">
        <v>533</v>
      </c>
      <c r="B110" s="317" t="s">
        <v>2</v>
      </c>
      <c r="C110" s="394">
        <v>2742.3359999999998</v>
      </c>
      <c r="D110" s="394">
        <v>2742.3359999999998</v>
      </c>
      <c r="E110" s="68"/>
      <c r="F110" s="68"/>
      <c r="G110" s="68"/>
      <c r="H110" s="68"/>
      <c r="I110" s="68"/>
      <c r="J110" s="68"/>
      <c r="K110" s="68"/>
      <c r="L110" s="68"/>
      <c r="M110" s="224"/>
      <c r="N110" s="224"/>
      <c r="O110" s="225">
        <f t="shared" si="11"/>
        <v>2742.3359999999998</v>
      </c>
      <c r="P110" s="14"/>
      <c r="Q110" s="14"/>
      <c r="R110" s="14"/>
      <c r="S110" s="14"/>
      <c r="T110" s="14"/>
      <c r="U110" s="14"/>
      <c r="V110" s="14"/>
      <c r="W110" s="14"/>
      <c r="X110" s="14"/>
      <c r="Y110" s="14"/>
      <c r="Z110" s="14"/>
      <c r="AA110" s="14"/>
      <c r="AB110" s="14"/>
      <c r="AC110" s="14"/>
    </row>
    <row r="111" spans="1:29">
      <c r="A111" s="317" t="s">
        <v>534</v>
      </c>
      <c r="B111" s="317" t="s">
        <v>2</v>
      </c>
      <c r="C111" s="394">
        <v>4799.0879999999988</v>
      </c>
      <c r="D111" s="394">
        <v>4799.0879999999988</v>
      </c>
      <c r="E111" s="68"/>
      <c r="F111" s="68"/>
      <c r="G111" s="68"/>
      <c r="H111" s="68"/>
      <c r="I111" s="68"/>
      <c r="J111" s="68"/>
      <c r="K111" s="68"/>
      <c r="L111" s="68"/>
      <c r="M111" s="224"/>
      <c r="N111" s="224"/>
      <c r="O111" s="225">
        <f t="shared" si="11"/>
        <v>4799.0879999999988</v>
      </c>
      <c r="P111" s="14"/>
      <c r="Q111" s="14"/>
      <c r="R111" s="14"/>
      <c r="S111" s="14"/>
      <c r="T111" s="14"/>
      <c r="U111" s="14"/>
      <c r="V111" s="14"/>
      <c r="W111" s="14"/>
      <c r="X111" s="14"/>
      <c r="Y111" s="14"/>
      <c r="Z111" s="14"/>
      <c r="AA111" s="14"/>
      <c r="AB111" s="14"/>
      <c r="AC111" s="14"/>
    </row>
    <row r="112" spans="1:29">
      <c r="A112" s="317" t="s">
        <v>535</v>
      </c>
      <c r="B112" s="317" t="s">
        <v>519</v>
      </c>
      <c r="C112" s="394">
        <v>137.11679999999998</v>
      </c>
      <c r="D112" s="394">
        <v>137.11679999999998</v>
      </c>
      <c r="E112" s="68"/>
      <c r="F112" s="68"/>
      <c r="G112" s="68"/>
      <c r="H112" s="68"/>
      <c r="I112" s="68"/>
      <c r="J112" s="68"/>
      <c r="K112" s="68"/>
      <c r="L112" s="68"/>
      <c r="M112" s="224"/>
      <c r="N112" s="224"/>
      <c r="O112" s="225">
        <f t="shared" si="11"/>
        <v>137.11679999999998</v>
      </c>
      <c r="P112" s="14"/>
      <c r="Q112" s="14"/>
      <c r="R112" s="14"/>
      <c r="S112" s="14"/>
      <c r="T112" s="14"/>
      <c r="U112" s="14"/>
      <c r="V112" s="14"/>
      <c r="W112" s="14"/>
      <c r="X112" s="14"/>
      <c r="Y112" s="14"/>
      <c r="Z112" s="14"/>
      <c r="AA112" s="14"/>
      <c r="AB112" s="14"/>
      <c r="AC112" s="14"/>
    </row>
    <row r="113" spans="1:29">
      <c r="A113" s="318" t="s">
        <v>536</v>
      </c>
      <c r="B113" s="318" t="s">
        <v>519</v>
      </c>
      <c r="C113" s="394">
        <v>205.67519999999996</v>
      </c>
      <c r="D113" s="394">
        <v>342.79199999999997</v>
      </c>
      <c r="E113" s="68"/>
      <c r="F113" s="68"/>
      <c r="G113" s="68"/>
      <c r="H113" s="68"/>
      <c r="I113" s="68"/>
      <c r="J113" s="68"/>
      <c r="K113" s="68"/>
      <c r="L113" s="68"/>
      <c r="M113" s="224"/>
      <c r="N113" s="224"/>
      <c r="O113" s="226">
        <f t="shared" si="11"/>
        <v>342.79199999999997</v>
      </c>
      <c r="P113" s="14"/>
      <c r="Q113" s="14"/>
      <c r="R113" s="14"/>
      <c r="S113" s="14"/>
      <c r="T113" s="14"/>
      <c r="U113" s="14"/>
      <c r="V113" s="14"/>
      <c r="W113" s="14"/>
      <c r="X113" s="14"/>
      <c r="Y113" s="14"/>
      <c r="Z113" s="14"/>
      <c r="AA113" s="14"/>
      <c r="AB113" s="14"/>
      <c r="AC113" s="14"/>
    </row>
    <row r="114" spans="1:29">
      <c r="A114" s="14"/>
      <c r="B114" s="14"/>
      <c r="C114" s="224"/>
      <c r="D114" s="224"/>
      <c r="E114" s="328"/>
      <c r="F114" s="328"/>
      <c r="G114" s="328"/>
      <c r="H114" s="328"/>
      <c r="I114" s="328"/>
      <c r="J114" s="328"/>
      <c r="K114" s="328"/>
      <c r="L114" s="328"/>
      <c r="M114" s="224"/>
      <c r="N114" s="224"/>
      <c r="O114" s="224"/>
      <c r="P114" s="14"/>
      <c r="Q114" s="14"/>
      <c r="R114" s="14"/>
      <c r="S114" s="14"/>
      <c r="T114" s="14"/>
      <c r="U114" s="14"/>
      <c r="V114" s="14"/>
      <c r="W114" s="14"/>
      <c r="X114" s="14"/>
      <c r="Y114" s="14"/>
      <c r="Z114" s="14"/>
      <c r="AA114" s="14"/>
      <c r="AB114" s="14"/>
      <c r="AC114" s="14"/>
    </row>
    <row r="115" spans="1:29">
      <c r="A115" s="319" t="s">
        <v>120</v>
      </c>
      <c r="B115" s="14"/>
      <c r="C115" s="224"/>
      <c r="D115" s="224"/>
      <c r="E115" s="328"/>
      <c r="F115" s="328"/>
      <c r="G115" s="328"/>
      <c r="H115" s="328"/>
      <c r="I115" s="328"/>
      <c r="J115" s="328"/>
      <c r="K115" s="328"/>
      <c r="L115" s="328"/>
      <c r="M115" s="224"/>
      <c r="N115" s="224"/>
      <c r="O115" s="224"/>
      <c r="P115" s="14"/>
      <c r="Q115" s="14"/>
      <c r="R115" s="14"/>
      <c r="S115" s="14"/>
      <c r="T115" s="14"/>
      <c r="U115" s="14"/>
      <c r="V115" s="14"/>
      <c r="W115" s="14"/>
      <c r="X115" s="14"/>
      <c r="Y115" s="14"/>
      <c r="Z115" s="14"/>
      <c r="AA115" s="14"/>
      <c r="AB115" s="14"/>
      <c r="AC115" s="14"/>
    </row>
    <row r="116" spans="1:29">
      <c r="A116" s="315" t="s">
        <v>537</v>
      </c>
      <c r="B116" s="14"/>
      <c r="C116" s="224"/>
      <c r="D116" s="224"/>
      <c r="E116" s="328"/>
      <c r="F116" s="328"/>
      <c r="G116" s="328"/>
      <c r="H116" s="328"/>
      <c r="I116" s="328"/>
      <c r="J116" s="328"/>
      <c r="K116" s="328"/>
      <c r="L116" s="328"/>
      <c r="M116" s="224"/>
      <c r="N116" s="224"/>
      <c r="O116" s="224"/>
      <c r="P116" s="14"/>
      <c r="Q116" s="14"/>
      <c r="R116" s="14"/>
      <c r="S116" s="14"/>
      <c r="T116" s="14"/>
      <c r="U116" s="14"/>
      <c r="V116" s="14"/>
      <c r="W116" s="14"/>
      <c r="X116" s="14"/>
      <c r="Y116" s="14"/>
      <c r="Z116" s="14"/>
      <c r="AA116" s="14"/>
      <c r="AB116" s="14"/>
      <c r="AC116" s="14"/>
    </row>
    <row r="117" spans="1:29">
      <c r="A117" s="320" t="s">
        <v>538</v>
      </c>
      <c r="B117" s="14"/>
      <c r="C117" s="224"/>
      <c r="D117" s="224"/>
      <c r="E117" s="328"/>
      <c r="F117" s="328"/>
      <c r="G117" s="328"/>
      <c r="H117" s="328"/>
      <c r="I117" s="328"/>
      <c r="J117" s="328"/>
      <c r="K117" s="328"/>
      <c r="L117" s="328"/>
      <c r="M117" s="224"/>
      <c r="N117" s="224"/>
      <c r="O117" s="224"/>
      <c r="P117" s="14"/>
      <c r="Q117" s="14"/>
      <c r="R117" s="14"/>
      <c r="S117" s="14"/>
      <c r="T117" s="14"/>
      <c r="U117" s="14"/>
      <c r="V117" s="14"/>
      <c r="W117" s="14"/>
      <c r="X117" s="14"/>
      <c r="Y117" s="14"/>
      <c r="Z117" s="14"/>
      <c r="AA117" s="14"/>
      <c r="AB117" s="14"/>
      <c r="AC117" s="14"/>
    </row>
    <row r="118" spans="1:29">
      <c r="A118" s="321" t="s">
        <v>539</v>
      </c>
      <c r="B118" s="316" t="s">
        <v>2</v>
      </c>
      <c r="C118" s="394">
        <v>2742.3359999999998</v>
      </c>
      <c r="D118" s="394">
        <v>2742.3359999999998</v>
      </c>
      <c r="E118" s="68"/>
      <c r="F118" s="68"/>
      <c r="G118" s="68"/>
      <c r="H118" s="68"/>
      <c r="I118" s="68"/>
      <c r="J118" s="68"/>
      <c r="K118" s="68"/>
      <c r="L118" s="68"/>
      <c r="M118" s="224"/>
      <c r="N118" s="224"/>
      <c r="O118" s="228">
        <f>INDEX(C118:L118,1,$O$8)</f>
        <v>2742.3359999999998</v>
      </c>
      <c r="P118" s="14"/>
      <c r="Q118" s="14"/>
      <c r="R118" s="14"/>
      <c r="S118" s="14"/>
      <c r="T118" s="14"/>
      <c r="U118" s="14"/>
      <c r="V118" s="14"/>
      <c r="W118" s="14"/>
      <c r="X118" s="14"/>
      <c r="Y118" s="14"/>
      <c r="Z118" s="14"/>
      <c r="AA118" s="14"/>
      <c r="AB118" s="14"/>
      <c r="AC118" s="14"/>
    </row>
    <row r="119" spans="1:29">
      <c r="A119" s="322" t="s">
        <v>540</v>
      </c>
      <c r="B119" s="317" t="s">
        <v>2</v>
      </c>
      <c r="C119" s="394">
        <v>3976.3871999999997</v>
      </c>
      <c r="D119" s="394">
        <v>3976.3871999999997</v>
      </c>
      <c r="E119" s="68"/>
      <c r="F119" s="68"/>
      <c r="G119" s="68"/>
      <c r="H119" s="68"/>
      <c r="I119" s="68"/>
      <c r="J119" s="68"/>
      <c r="K119" s="68"/>
      <c r="L119" s="68"/>
      <c r="M119" s="224"/>
      <c r="N119" s="224"/>
      <c r="O119" s="225">
        <f>INDEX(C119:L119,1,$O$8)</f>
        <v>3976.3871999999997</v>
      </c>
      <c r="P119" s="14"/>
      <c r="Q119" s="14"/>
      <c r="R119" s="14"/>
      <c r="S119" s="14"/>
      <c r="T119" s="14"/>
      <c r="U119" s="14"/>
      <c r="V119" s="14"/>
      <c r="W119" s="14"/>
      <c r="X119" s="14"/>
      <c r="Y119" s="14"/>
      <c r="Z119" s="14"/>
      <c r="AA119" s="14"/>
      <c r="AB119" s="14"/>
      <c r="AC119" s="14"/>
    </row>
    <row r="120" spans="1:29">
      <c r="A120" s="323" t="s">
        <v>541</v>
      </c>
      <c r="B120" s="317" t="s">
        <v>2</v>
      </c>
      <c r="C120" s="394">
        <v>26052.191999999992</v>
      </c>
      <c r="D120" s="394">
        <v>26052.191999999992</v>
      </c>
      <c r="E120" s="68"/>
      <c r="F120" s="68"/>
      <c r="G120" s="68"/>
      <c r="H120" s="68"/>
      <c r="I120" s="68"/>
      <c r="J120" s="68"/>
      <c r="K120" s="68"/>
      <c r="L120" s="68"/>
      <c r="M120" s="224"/>
      <c r="N120" s="224"/>
      <c r="O120" s="225">
        <f>INDEX(C120:L120,1,$O$8)</f>
        <v>26052.191999999992</v>
      </c>
      <c r="P120" s="14"/>
      <c r="Q120" s="14"/>
      <c r="R120" s="14"/>
      <c r="S120" s="14"/>
      <c r="T120" s="14"/>
      <c r="U120" s="14"/>
      <c r="V120" s="14"/>
      <c r="W120" s="14"/>
      <c r="X120" s="14"/>
      <c r="Y120" s="14"/>
      <c r="Z120" s="14"/>
      <c r="AA120" s="14"/>
      <c r="AB120" s="14"/>
      <c r="AC120" s="14"/>
    </row>
    <row r="121" spans="1:29">
      <c r="A121" s="324" t="s">
        <v>542</v>
      </c>
      <c r="B121" s="318" t="s">
        <v>2</v>
      </c>
      <c r="C121" s="394">
        <v>34279.19999999999</v>
      </c>
      <c r="D121" s="394">
        <v>34279.19999999999</v>
      </c>
      <c r="E121" s="68"/>
      <c r="F121" s="68"/>
      <c r="G121" s="68"/>
      <c r="H121" s="68"/>
      <c r="I121" s="68"/>
      <c r="J121" s="68"/>
      <c r="K121" s="68"/>
      <c r="L121" s="68"/>
      <c r="M121" s="224"/>
      <c r="N121" s="224"/>
      <c r="O121" s="226">
        <f>INDEX(C121:L121,1,$O$8)</f>
        <v>34279.19999999999</v>
      </c>
      <c r="P121" s="14"/>
      <c r="Q121" s="14"/>
      <c r="R121" s="14"/>
      <c r="S121" s="14"/>
      <c r="T121" s="14"/>
      <c r="U121" s="14"/>
      <c r="V121" s="14"/>
      <c r="W121" s="14"/>
      <c r="X121" s="14"/>
      <c r="Y121" s="14"/>
      <c r="Z121" s="14"/>
      <c r="AA121" s="14"/>
      <c r="AB121" s="14"/>
      <c r="AC121" s="14"/>
    </row>
    <row r="122" spans="1:29">
      <c r="A122" s="320" t="s">
        <v>543</v>
      </c>
      <c r="B122" s="14"/>
      <c r="C122" s="224"/>
      <c r="D122" s="224"/>
      <c r="E122" s="328"/>
      <c r="F122" s="328"/>
      <c r="G122" s="328"/>
      <c r="H122" s="328"/>
      <c r="I122" s="328"/>
      <c r="J122" s="328"/>
      <c r="K122" s="328"/>
      <c r="L122" s="328"/>
      <c r="M122" s="224"/>
      <c r="N122" s="224"/>
      <c r="O122" s="224"/>
      <c r="P122" s="14"/>
      <c r="Q122" s="14"/>
      <c r="R122" s="14"/>
      <c r="S122" s="14"/>
      <c r="T122" s="14"/>
      <c r="U122" s="14"/>
      <c r="V122" s="14"/>
      <c r="W122" s="14"/>
      <c r="X122" s="14"/>
      <c r="Y122" s="14"/>
      <c r="Z122" s="14"/>
      <c r="AA122" s="14"/>
      <c r="AB122" s="14"/>
      <c r="AC122" s="14"/>
    </row>
    <row r="123" spans="1:29">
      <c r="A123" s="321" t="s">
        <v>539</v>
      </c>
      <c r="B123" s="316" t="s">
        <v>544</v>
      </c>
      <c r="C123" s="394">
        <v>274.23359999999997</v>
      </c>
      <c r="D123" s="394">
        <v>274.23359999999997</v>
      </c>
      <c r="E123" s="68"/>
      <c r="F123" s="68"/>
      <c r="G123" s="68"/>
      <c r="H123" s="68"/>
      <c r="I123" s="68"/>
      <c r="J123" s="68"/>
      <c r="K123" s="68"/>
      <c r="L123" s="68"/>
      <c r="M123" s="224"/>
      <c r="N123" s="224"/>
      <c r="O123" s="228">
        <f>INDEX(C123:L123,1,$O$8)</f>
        <v>274.23359999999997</v>
      </c>
      <c r="P123" s="14"/>
      <c r="Q123" s="14"/>
      <c r="R123" s="14"/>
      <c r="S123" s="14"/>
      <c r="T123" s="14"/>
      <c r="U123" s="14"/>
      <c r="V123" s="14"/>
      <c r="W123" s="14"/>
      <c r="X123" s="14"/>
      <c r="Y123" s="14"/>
      <c r="Z123" s="14"/>
      <c r="AA123" s="14"/>
      <c r="AB123" s="14"/>
      <c r="AC123" s="14"/>
    </row>
    <row r="124" spans="1:29">
      <c r="A124" s="322" t="s">
        <v>540</v>
      </c>
      <c r="B124" s="317" t="s">
        <v>544</v>
      </c>
      <c r="C124" s="394">
        <v>383.92703999999998</v>
      </c>
      <c r="D124" s="394">
        <v>383.92703999999998</v>
      </c>
      <c r="E124" s="68"/>
      <c r="F124" s="68"/>
      <c r="G124" s="68"/>
      <c r="H124" s="68"/>
      <c r="I124" s="68"/>
      <c r="J124" s="68"/>
      <c r="K124" s="68"/>
      <c r="L124" s="68"/>
      <c r="M124" s="224"/>
      <c r="N124" s="224"/>
      <c r="O124" s="225">
        <f>INDEX(C124:L124,1,$O$8)</f>
        <v>383.92703999999998</v>
      </c>
      <c r="P124" s="14"/>
      <c r="Q124" s="14"/>
      <c r="R124" s="14"/>
      <c r="S124" s="14"/>
      <c r="T124" s="14"/>
      <c r="U124" s="14"/>
      <c r="V124" s="14"/>
      <c r="W124" s="14"/>
      <c r="X124" s="14"/>
      <c r="Y124" s="14"/>
      <c r="Z124" s="14"/>
      <c r="AA124" s="14"/>
      <c r="AB124" s="14"/>
      <c r="AC124" s="14"/>
    </row>
    <row r="125" spans="1:29">
      <c r="A125" s="323" t="s">
        <v>541</v>
      </c>
      <c r="B125" s="317" t="s">
        <v>544</v>
      </c>
      <c r="C125" s="394">
        <v>507.33215999999987</v>
      </c>
      <c r="D125" s="394">
        <v>507.33215999999987</v>
      </c>
      <c r="E125" s="68"/>
      <c r="F125" s="68"/>
      <c r="G125" s="68"/>
      <c r="H125" s="68"/>
      <c r="I125" s="68"/>
      <c r="J125" s="68"/>
      <c r="K125" s="68"/>
      <c r="L125" s="68"/>
      <c r="M125" s="224"/>
      <c r="N125" s="224"/>
      <c r="O125" s="225">
        <f>INDEX(C125:L125,1,$O$8)</f>
        <v>507.33215999999987</v>
      </c>
      <c r="P125" s="14"/>
      <c r="Q125" s="14"/>
      <c r="R125" s="14"/>
      <c r="S125" s="14"/>
      <c r="T125" s="14"/>
      <c r="U125" s="14"/>
      <c r="V125" s="14"/>
      <c r="W125" s="14"/>
      <c r="X125" s="14"/>
      <c r="Y125" s="14"/>
      <c r="Z125" s="14"/>
      <c r="AA125" s="14"/>
      <c r="AB125" s="14"/>
      <c r="AC125" s="14"/>
    </row>
    <row r="126" spans="1:29">
      <c r="A126" s="324" t="s">
        <v>542</v>
      </c>
      <c r="B126" s="318" t="s">
        <v>544</v>
      </c>
      <c r="C126" s="394">
        <v>726.71903999999995</v>
      </c>
      <c r="D126" s="394">
        <v>726.71903999999995</v>
      </c>
      <c r="E126" s="68"/>
      <c r="F126" s="68"/>
      <c r="G126" s="68"/>
      <c r="H126" s="68"/>
      <c r="I126" s="68"/>
      <c r="J126" s="68"/>
      <c r="K126" s="68"/>
      <c r="L126" s="68"/>
      <c r="M126" s="224"/>
      <c r="N126" s="224"/>
      <c r="O126" s="226">
        <f>INDEX(C126:L126,1,$O$8)</f>
        <v>726.71903999999995</v>
      </c>
      <c r="P126" s="14"/>
      <c r="Q126" s="14"/>
      <c r="R126" s="14"/>
      <c r="S126" s="14"/>
      <c r="T126" s="14"/>
      <c r="U126" s="14"/>
      <c r="V126" s="14"/>
      <c r="W126" s="14"/>
      <c r="X126" s="14"/>
      <c r="Y126" s="14"/>
      <c r="Z126" s="14"/>
      <c r="AA126" s="14"/>
      <c r="AB126" s="14"/>
      <c r="AC126" s="14"/>
    </row>
    <row r="127" spans="1:29">
      <c r="A127" s="320" t="s">
        <v>500</v>
      </c>
      <c r="B127" s="14"/>
      <c r="C127" s="224"/>
      <c r="D127" s="224"/>
      <c r="E127" s="328"/>
      <c r="F127" s="328"/>
      <c r="G127" s="328"/>
      <c r="H127" s="328"/>
      <c r="I127" s="328"/>
      <c r="J127" s="328"/>
      <c r="K127" s="328"/>
      <c r="L127" s="328"/>
      <c r="M127" s="224"/>
      <c r="N127" s="224"/>
      <c r="O127" s="224"/>
      <c r="P127" s="14"/>
      <c r="Q127" s="14"/>
      <c r="R127" s="14"/>
      <c r="S127" s="14"/>
      <c r="T127" s="14"/>
      <c r="U127" s="14"/>
      <c r="V127" s="14"/>
      <c r="W127" s="14"/>
      <c r="X127" s="14"/>
      <c r="Y127" s="14"/>
      <c r="Z127" s="14"/>
      <c r="AA127" s="14"/>
      <c r="AB127" s="14"/>
      <c r="AC127" s="14"/>
    </row>
    <row r="128" spans="1:29">
      <c r="A128" s="321" t="s">
        <v>539</v>
      </c>
      <c r="B128" s="316" t="s">
        <v>343</v>
      </c>
      <c r="C128" s="394">
        <v>0.10969343999999999</v>
      </c>
      <c r="D128" s="394">
        <v>0.10969343999999999</v>
      </c>
      <c r="E128" s="465"/>
      <c r="F128" s="465"/>
      <c r="G128" s="68"/>
      <c r="H128" s="68"/>
      <c r="I128" s="68"/>
      <c r="J128" s="68"/>
      <c r="K128" s="68"/>
      <c r="L128" s="68"/>
      <c r="M128" s="224"/>
      <c r="N128" s="224"/>
      <c r="O128" s="228">
        <f>INDEX(C128:L128,1,$O$8)</f>
        <v>0.10969343999999999</v>
      </c>
      <c r="P128" s="14"/>
      <c r="Q128" s="14"/>
      <c r="R128" s="14"/>
      <c r="S128" s="14"/>
      <c r="T128" s="14"/>
      <c r="U128" s="14"/>
      <c r="V128" s="14"/>
      <c r="W128" s="14"/>
      <c r="X128" s="14"/>
      <c r="Y128" s="14"/>
      <c r="Z128" s="14"/>
      <c r="AA128" s="14"/>
      <c r="AB128" s="14"/>
      <c r="AC128" s="14"/>
    </row>
    <row r="129" spans="1:29">
      <c r="A129" s="322" t="s">
        <v>540</v>
      </c>
      <c r="B129" s="317" t="s">
        <v>343</v>
      </c>
      <c r="C129" s="394">
        <v>0.10969343999999999</v>
      </c>
      <c r="D129" s="394">
        <v>0.10969343999999999</v>
      </c>
      <c r="E129" s="465"/>
      <c r="F129" s="465"/>
      <c r="G129" s="68"/>
      <c r="H129" s="68"/>
      <c r="I129" s="68"/>
      <c r="J129" s="68"/>
      <c r="K129" s="68"/>
      <c r="L129" s="68"/>
      <c r="M129" s="224"/>
      <c r="N129" s="224"/>
      <c r="O129" s="225">
        <f>INDEX(C129:L129,1,$O$8)</f>
        <v>0.10969343999999999</v>
      </c>
      <c r="P129" s="14"/>
      <c r="Q129" s="14"/>
      <c r="R129" s="14"/>
      <c r="S129" s="14"/>
      <c r="T129" s="14"/>
      <c r="U129" s="14"/>
      <c r="V129" s="14"/>
      <c r="W129" s="14"/>
      <c r="X129" s="14"/>
      <c r="Y129" s="14"/>
      <c r="Z129" s="14"/>
      <c r="AA129" s="14"/>
      <c r="AB129" s="14"/>
      <c r="AC129" s="14"/>
    </row>
    <row r="130" spans="1:29">
      <c r="A130" s="323" t="s">
        <v>541</v>
      </c>
      <c r="B130" s="317" t="s">
        <v>343</v>
      </c>
      <c r="C130" s="394">
        <v>0.20567519999999995</v>
      </c>
      <c r="D130" s="394">
        <v>0.20567519999999995</v>
      </c>
      <c r="E130" s="465"/>
      <c r="F130" s="465"/>
      <c r="G130" s="68"/>
      <c r="H130" s="68"/>
      <c r="I130" s="68"/>
      <c r="J130" s="68"/>
      <c r="K130" s="68"/>
      <c r="L130" s="68"/>
      <c r="M130" s="224"/>
      <c r="N130" s="224"/>
      <c r="O130" s="225">
        <f>INDEX(C130:L130,1,$O$8)</f>
        <v>0.20567519999999995</v>
      </c>
      <c r="P130" s="14"/>
      <c r="Q130" s="14"/>
      <c r="R130" s="14"/>
      <c r="S130" s="14"/>
      <c r="T130" s="14"/>
      <c r="U130" s="14"/>
      <c r="V130" s="14"/>
      <c r="W130" s="14"/>
      <c r="X130" s="14"/>
      <c r="Y130" s="14"/>
      <c r="Z130" s="14"/>
      <c r="AA130" s="14"/>
      <c r="AB130" s="14"/>
      <c r="AC130" s="14"/>
    </row>
    <row r="131" spans="1:29">
      <c r="A131" s="324" t="s">
        <v>542</v>
      </c>
      <c r="B131" s="318" t="s">
        <v>343</v>
      </c>
      <c r="C131" s="394">
        <v>0.27423359999999997</v>
      </c>
      <c r="D131" s="394">
        <v>0.27423359999999997</v>
      </c>
      <c r="E131" s="465"/>
      <c r="F131" s="465"/>
      <c r="G131" s="68"/>
      <c r="H131" s="68"/>
      <c r="I131" s="68"/>
      <c r="J131" s="68"/>
      <c r="K131" s="68"/>
      <c r="L131" s="68"/>
      <c r="M131" s="224"/>
      <c r="N131" s="224"/>
      <c r="O131" s="226">
        <f>INDEX(C131:L131,1,$O$8)</f>
        <v>0.27423359999999997</v>
      </c>
      <c r="P131" s="14"/>
      <c r="Q131" s="14"/>
      <c r="R131" s="14"/>
      <c r="S131" s="14"/>
      <c r="T131" s="14"/>
      <c r="U131" s="14"/>
      <c r="V131" s="14"/>
      <c r="W131" s="14"/>
      <c r="X131" s="14"/>
      <c r="Y131" s="14"/>
      <c r="Z131" s="14"/>
      <c r="AA131" s="14"/>
      <c r="AB131" s="14"/>
      <c r="AC131" s="14"/>
    </row>
    <row r="132" spans="1:29">
      <c r="A132" s="320" t="s">
        <v>717</v>
      </c>
      <c r="B132" s="14"/>
      <c r="C132" s="224"/>
      <c r="D132" s="224"/>
      <c r="E132" s="328"/>
      <c r="F132" s="328"/>
      <c r="G132" s="328"/>
      <c r="H132" s="328"/>
      <c r="I132" s="328"/>
      <c r="J132" s="328"/>
      <c r="K132" s="328"/>
      <c r="L132" s="328"/>
      <c r="M132" s="224"/>
      <c r="N132" s="224"/>
      <c r="O132" s="224"/>
      <c r="P132" s="14"/>
      <c r="Q132" s="14"/>
      <c r="R132" s="14"/>
      <c r="S132" s="14"/>
      <c r="T132" s="14"/>
      <c r="U132" s="14"/>
      <c r="V132" s="14"/>
      <c r="W132" s="14"/>
      <c r="X132" s="14"/>
      <c r="Y132" s="14"/>
      <c r="Z132" s="14"/>
      <c r="AA132" s="14"/>
      <c r="AB132" s="14"/>
      <c r="AC132" s="14"/>
    </row>
    <row r="133" spans="1:29">
      <c r="A133" s="325" t="s">
        <v>718</v>
      </c>
      <c r="B133" s="316" t="s">
        <v>2</v>
      </c>
      <c r="C133" s="394">
        <v>13711.679999999997</v>
      </c>
      <c r="D133" s="394">
        <v>16454.015999999996</v>
      </c>
      <c r="E133" s="68"/>
      <c r="F133" s="68"/>
      <c r="G133" s="68"/>
      <c r="H133" s="68"/>
      <c r="I133" s="68"/>
      <c r="J133" s="68"/>
      <c r="K133" s="68"/>
      <c r="L133" s="68"/>
      <c r="M133" s="224"/>
      <c r="N133" s="224"/>
      <c r="O133" s="228">
        <f>INDEX(C133:L133,1,$O$8)</f>
        <v>16454.015999999996</v>
      </c>
      <c r="P133" s="14"/>
      <c r="Q133" s="14"/>
      <c r="R133" s="14"/>
      <c r="S133" s="14"/>
      <c r="T133" s="14"/>
      <c r="U133" s="14"/>
      <c r="V133" s="14"/>
      <c r="W133" s="14"/>
      <c r="X133" s="14"/>
      <c r="Y133" s="14"/>
      <c r="Z133" s="14"/>
      <c r="AA133" s="14"/>
      <c r="AB133" s="14"/>
      <c r="AC133" s="14"/>
    </row>
    <row r="134" spans="1:29">
      <c r="A134" s="323" t="s">
        <v>727</v>
      </c>
      <c r="B134" s="317" t="s">
        <v>719</v>
      </c>
      <c r="C134" s="394">
        <v>342.79199999999997</v>
      </c>
      <c r="D134" s="394">
        <v>342.79199999999997</v>
      </c>
      <c r="E134" s="68"/>
      <c r="F134" s="68"/>
      <c r="G134" s="68"/>
      <c r="H134" s="68"/>
      <c r="I134" s="68"/>
      <c r="J134" s="68"/>
      <c r="K134" s="68"/>
      <c r="L134" s="68"/>
      <c r="M134" s="224"/>
      <c r="N134" s="224"/>
      <c r="O134" s="225">
        <f>INDEX(C134:L134,1,$O$8)</f>
        <v>342.79199999999997</v>
      </c>
      <c r="P134" s="14"/>
      <c r="Q134" s="14"/>
      <c r="R134" s="14"/>
      <c r="S134" s="14"/>
      <c r="T134" s="14"/>
      <c r="U134" s="14"/>
      <c r="V134" s="14"/>
      <c r="W134" s="14"/>
      <c r="X134" s="14"/>
      <c r="Y134" s="14"/>
      <c r="Z134" s="14"/>
      <c r="AA134" s="14"/>
      <c r="AB134" s="14"/>
      <c r="AC134" s="14"/>
    </row>
    <row r="135" spans="1:29">
      <c r="A135" s="323" t="s">
        <v>730</v>
      </c>
      <c r="B135" s="317" t="s">
        <v>719</v>
      </c>
      <c r="C135" s="394">
        <v>411.35039999999992</v>
      </c>
      <c r="D135" s="394">
        <v>411.35039999999992</v>
      </c>
      <c r="E135" s="68"/>
      <c r="F135" s="68"/>
      <c r="G135" s="68"/>
      <c r="H135" s="68"/>
      <c r="I135" s="68"/>
      <c r="J135" s="68"/>
      <c r="K135" s="68"/>
      <c r="L135" s="68"/>
      <c r="M135" s="224"/>
      <c r="N135" s="224"/>
      <c r="O135" s="225">
        <f>INDEX(C135:L135,1,$O$8)</f>
        <v>411.35039999999992</v>
      </c>
      <c r="P135" s="14"/>
      <c r="Q135" s="14"/>
      <c r="R135" s="14"/>
      <c r="S135" s="14"/>
      <c r="T135" s="14"/>
      <c r="U135" s="14"/>
      <c r="V135" s="14"/>
      <c r="W135" s="14"/>
      <c r="X135" s="14"/>
      <c r="Y135" s="14"/>
      <c r="Z135" s="14"/>
      <c r="AA135" s="14"/>
      <c r="AB135" s="14"/>
      <c r="AC135" s="14"/>
    </row>
    <row r="136" spans="1:29">
      <c r="A136" s="323" t="s">
        <v>728</v>
      </c>
      <c r="B136" s="317" t="s">
        <v>345</v>
      </c>
      <c r="C136" s="394">
        <v>3.4279199999999999</v>
      </c>
      <c r="D136" s="394">
        <v>3.4279199999999999</v>
      </c>
      <c r="E136" s="465"/>
      <c r="F136" s="465"/>
      <c r="G136" s="68"/>
      <c r="H136" s="68"/>
      <c r="I136" s="68"/>
      <c r="J136" s="68"/>
      <c r="K136" s="68"/>
      <c r="L136" s="68"/>
      <c r="M136" s="224"/>
      <c r="N136" s="224"/>
      <c r="O136" s="225">
        <f>INDEX(C136:L136,1,$O$8)</f>
        <v>3.4279199999999999</v>
      </c>
      <c r="P136" s="14"/>
      <c r="Q136" s="14"/>
      <c r="R136" s="14"/>
      <c r="S136" s="14"/>
      <c r="T136" s="14"/>
      <c r="U136" s="14"/>
      <c r="V136" s="14"/>
      <c r="W136" s="14"/>
      <c r="X136" s="14"/>
      <c r="Y136" s="14"/>
      <c r="Z136" s="14"/>
      <c r="AA136" s="14"/>
      <c r="AB136" s="14"/>
      <c r="AC136" s="14"/>
    </row>
    <row r="137" spans="1:29">
      <c r="A137" s="324" t="s">
        <v>729</v>
      </c>
      <c r="B137" s="318" t="s">
        <v>345</v>
      </c>
      <c r="C137" s="394">
        <v>4.3877375999999995</v>
      </c>
      <c r="D137" s="394">
        <v>4.3877375999999995</v>
      </c>
      <c r="E137" s="465"/>
      <c r="F137" s="465"/>
      <c r="G137" s="68"/>
      <c r="H137" s="68"/>
      <c r="I137" s="68"/>
      <c r="J137" s="68"/>
      <c r="K137" s="68"/>
      <c r="L137" s="68"/>
      <c r="M137" s="224"/>
      <c r="N137" s="224"/>
      <c r="O137" s="226">
        <f>INDEX(C137:L137,1,$O$8)</f>
        <v>4.3877375999999995</v>
      </c>
      <c r="P137" s="14"/>
      <c r="Q137" s="14"/>
      <c r="R137" s="14"/>
      <c r="S137" s="14"/>
      <c r="T137" s="14"/>
      <c r="U137" s="14"/>
      <c r="V137" s="14"/>
      <c r="W137" s="14"/>
      <c r="X137" s="14"/>
      <c r="Y137" s="14"/>
      <c r="Z137" s="14"/>
      <c r="AA137" s="14"/>
      <c r="AB137" s="14"/>
      <c r="AC137" s="14"/>
    </row>
    <row r="138" spans="1:29">
      <c r="A138" s="14"/>
      <c r="B138" s="14"/>
      <c r="C138" s="224"/>
      <c r="D138" s="224"/>
      <c r="E138" s="328"/>
      <c r="F138" s="328"/>
      <c r="G138" s="328"/>
      <c r="H138" s="328"/>
      <c r="I138" s="328"/>
      <c r="J138" s="328"/>
      <c r="K138" s="328"/>
      <c r="L138" s="328"/>
      <c r="M138" s="224"/>
      <c r="N138" s="224"/>
      <c r="O138" s="224"/>
      <c r="P138" s="14"/>
      <c r="Q138" s="14"/>
      <c r="R138" s="14"/>
      <c r="S138" s="14"/>
      <c r="T138" s="14"/>
      <c r="U138" s="14"/>
      <c r="V138" s="14"/>
      <c r="W138" s="14"/>
      <c r="X138" s="14"/>
      <c r="Y138" s="14"/>
      <c r="Z138" s="14"/>
      <c r="AA138" s="14"/>
      <c r="AB138" s="14"/>
      <c r="AC138" s="14"/>
    </row>
    <row r="139" spans="1:29">
      <c r="A139" s="315" t="s">
        <v>545</v>
      </c>
      <c r="B139" s="14"/>
      <c r="C139" s="224"/>
      <c r="D139" s="224"/>
      <c r="E139" s="328"/>
      <c r="F139" s="328"/>
      <c r="G139" s="328"/>
      <c r="H139" s="328"/>
      <c r="I139" s="328"/>
      <c r="J139" s="328"/>
      <c r="K139" s="328"/>
      <c r="L139" s="328"/>
      <c r="M139" s="224"/>
      <c r="N139" s="224"/>
      <c r="O139" s="224"/>
      <c r="P139" s="14"/>
      <c r="Q139" s="14"/>
      <c r="R139" s="14"/>
      <c r="S139" s="14"/>
      <c r="T139" s="14"/>
      <c r="U139" s="14"/>
      <c r="V139" s="14"/>
      <c r="W139" s="14"/>
      <c r="X139" s="14"/>
      <c r="Y139" s="14"/>
      <c r="Z139" s="14"/>
      <c r="AA139" s="14"/>
      <c r="AB139" s="14"/>
      <c r="AC139" s="14"/>
    </row>
    <row r="140" spans="1:29">
      <c r="A140" s="326" t="s">
        <v>940</v>
      </c>
      <c r="B140" s="316" t="s">
        <v>343</v>
      </c>
      <c r="C140" s="394">
        <v>0.53831039999999997</v>
      </c>
      <c r="D140" s="394">
        <v>0.53831039999999997</v>
      </c>
      <c r="E140" s="465"/>
      <c r="F140" s="465"/>
      <c r="G140" s="68"/>
      <c r="H140" s="68"/>
      <c r="I140" s="68"/>
      <c r="J140" s="68"/>
      <c r="K140" s="68"/>
      <c r="L140" s="68"/>
      <c r="M140" s="224"/>
      <c r="N140" s="224"/>
      <c r="O140" s="228">
        <f t="shared" ref="O140:O145" si="12">INDEX(C140:L140,1,$O$8)</f>
        <v>0.53831039999999997</v>
      </c>
      <c r="P140" s="14"/>
      <c r="Q140" s="14"/>
      <c r="R140" s="14"/>
      <c r="S140" s="14"/>
      <c r="T140" s="14"/>
      <c r="U140" s="14"/>
      <c r="V140" s="14"/>
      <c r="W140" s="14"/>
      <c r="X140" s="14"/>
      <c r="Y140" s="14"/>
      <c r="Z140" s="14"/>
      <c r="AA140" s="14"/>
      <c r="AB140" s="14"/>
      <c r="AC140" s="14"/>
    </row>
    <row r="141" spans="1:29">
      <c r="A141" s="273" t="s">
        <v>546</v>
      </c>
      <c r="B141" s="317" t="s">
        <v>343</v>
      </c>
      <c r="C141" s="394">
        <v>0.74017679999999986</v>
      </c>
      <c r="D141" s="394">
        <v>0.74017679999999986</v>
      </c>
      <c r="E141" s="465"/>
      <c r="F141" s="465"/>
      <c r="G141" s="68"/>
      <c r="H141" s="68"/>
      <c r="I141" s="68"/>
      <c r="J141" s="68"/>
      <c r="K141" s="68"/>
      <c r="L141" s="68"/>
      <c r="M141" s="224"/>
      <c r="N141" s="224"/>
      <c r="O141" s="225">
        <f t="shared" si="12"/>
        <v>0.74017679999999986</v>
      </c>
      <c r="P141" s="14"/>
      <c r="Q141" s="14"/>
      <c r="R141" s="14"/>
      <c r="S141" s="14"/>
      <c r="T141" s="14"/>
      <c r="U141" s="14"/>
      <c r="V141" s="14"/>
      <c r="W141" s="14"/>
      <c r="X141" s="14"/>
      <c r="Y141" s="14"/>
      <c r="Z141" s="14"/>
      <c r="AA141" s="14"/>
      <c r="AB141" s="14"/>
      <c r="AC141" s="14"/>
    </row>
    <row r="142" spans="1:29">
      <c r="A142" s="273" t="s">
        <v>547</v>
      </c>
      <c r="B142" s="317" t="s">
        <v>343</v>
      </c>
      <c r="C142" s="394">
        <v>1.0093319999999999</v>
      </c>
      <c r="D142" s="394">
        <v>1.0093319999999999</v>
      </c>
      <c r="E142" s="465"/>
      <c r="F142" s="465"/>
      <c r="G142" s="68"/>
      <c r="H142" s="68"/>
      <c r="I142" s="68"/>
      <c r="J142" s="68"/>
      <c r="K142" s="68"/>
      <c r="L142" s="68"/>
      <c r="M142" s="224"/>
      <c r="N142" s="224"/>
      <c r="O142" s="225">
        <f t="shared" si="12"/>
        <v>1.0093319999999999</v>
      </c>
      <c r="P142" s="14"/>
      <c r="Q142" s="14"/>
      <c r="R142" s="14"/>
      <c r="S142" s="14"/>
      <c r="T142" s="14"/>
      <c r="U142" s="14"/>
      <c r="V142" s="14"/>
      <c r="W142" s="14"/>
      <c r="X142" s="14"/>
      <c r="Y142" s="14"/>
      <c r="Z142" s="14"/>
      <c r="AA142" s="14"/>
      <c r="AB142" s="14"/>
      <c r="AC142" s="14"/>
    </row>
    <row r="143" spans="1:29">
      <c r="A143" s="273" t="s">
        <v>548</v>
      </c>
      <c r="B143" s="317" t="s">
        <v>343</v>
      </c>
      <c r="C143" s="394">
        <v>1.2784871999999996</v>
      </c>
      <c r="D143" s="394">
        <v>1.6149311999999998</v>
      </c>
      <c r="E143" s="465"/>
      <c r="F143" s="465"/>
      <c r="G143" s="68"/>
      <c r="H143" s="68"/>
      <c r="I143" s="68"/>
      <c r="J143" s="68"/>
      <c r="K143" s="68"/>
      <c r="L143" s="68"/>
      <c r="M143" s="224"/>
      <c r="N143" s="224"/>
      <c r="O143" s="225">
        <f t="shared" si="12"/>
        <v>1.6149311999999998</v>
      </c>
      <c r="P143" s="14"/>
      <c r="Q143" s="14"/>
      <c r="R143" s="14"/>
      <c r="S143" s="14"/>
      <c r="T143" s="14"/>
      <c r="U143" s="14"/>
      <c r="V143" s="14"/>
      <c r="W143" s="14"/>
      <c r="X143" s="14"/>
      <c r="Y143" s="14"/>
      <c r="Z143" s="14"/>
      <c r="AA143" s="14"/>
      <c r="AB143" s="14"/>
      <c r="AC143" s="14"/>
    </row>
    <row r="144" spans="1:29">
      <c r="A144" s="273" t="s">
        <v>549</v>
      </c>
      <c r="B144" s="317" t="s">
        <v>343</v>
      </c>
      <c r="C144" s="394">
        <v>1.5476423999999998</v>
      </c>
      <c r="D144" s="394">
        <v>1.8167976000000001</v>
      </c>
      <c r="E144" s="465"/>
      <c r="F144" s="465"/>
      <c r="G144" s="68"/>
      <c r="H144" s="68"/>
      <c r="I144" s="68"/>
      <c r="J144" s="68"/>
      <c r="K144" s="68"/>
      <c r="L144" s="68"/>
      <c r="M144" s="224"/>
      <c r="N144" s="224"/>
      <c r="O144" s="225">
        <f t="shared" si="12"/>
        <v>1.8167976000000001</v>
      </c>
      <c r="P144" s="14"/>
      <c r="Q144" s="14"/>
      <c r="R144" s="14"/>
      <c r="S144" s="14"/>
      <c r="T144" s="14"/>
      <c r="U144" s="14"/>
      <c r="V144" s="14"/>
      <c r="W144" s="14"/>
      <c r="X144" s="14"/>
      <c r="Y144" s="14"/>
      <c r="Z144" s="14"/>
      <c r="AA144" s="14"/>
      <c r="AB144" s="14"/>
      <c r="AC144" s="14"/>
    </row>
    <row r="145" spans="1:29">
      <c r="A145" s="327" t="s">
        <v>1032</v>
      </c>
      <c r="B145" s="318" t="s">
        <v>343</v>
      </c>
      <c r="C145" s="394">
        <v>0.25391999999999992</v>
      </c>
      <c r="D145" s="394">
        <v>0.25391999999999992</v>
      </c>
      <c r="E145" s="465"/>
      <c r="F145" s="465"/>
      <c r="G145" s="68"/>
      <c r="H145" s="68"/>
      <c r="I145" s="68"/>
      <c r="J145" s="68"/>
      <c r="K145" s="68"/>
      <c r="L145" s="68"/>
      <c r="M145" s="224"/>
      <c r="N145" s="224"/>
      <c r="O145" s="226">
        <f t="shared" si="12"/>
        <v>0.25391999999999992</v>
      </c>
      <c r="P145" s="14"/>
      <c r="Q145" s="14"/>
      <c r="R145" s="14"/>
      <c r="S145" s="14"/>
      <c r="T145" s="14"/>
      <c r="U145" s="14"/>
      <c r="V145" s="14"/>
      <c r="W145" s="14"/>
      <c r="X145" s="14"/>
      <c r="Y145" s="14"/>
      <c r="Z145" s="14"/>
      <c r="AA145" s="14"/>
      <c r="AB145" s="14"/>
      <c r="AC145" s="14"/>
    </row>
    <row r="146" spans="1:29">
      <c r="A146" s="14"/>
      <c r="B146" s="14"/>
      <c r="C146" s="224"/>
      <c r="D146" s="224"/>
      <c r="E146" s="328"/>
      <c r="F146" s="328"/>
      <c r="G146" s="328"/>
      <c r="H146" s="328"/>
      <c r="I146" s="328"/>
      <c r="J146" s="328"/>
      <c r="K146" s="328"/>
      <c r="L146" s="328"/>
      <c r="M146" s="224"/>
      <c r="N146" s="224"/>
      <c r="O146" s="224"/>
      <c r="P146" s="14"/>
      <c r="Q146" s="14"/>
      <c r="R146" s="14"/>
      <c r="S146" s="14"/>
      <c r="T146" s="14"/>
      <c r="U146" s="14"/>
      <c r="V146" s="14"/>
      <c r="W146" s="14"/>
      <c r="X146" s="14"/>
      <c r="Y146" s="14"/>
      <c r="Z146" s="14"/>
      <c r="AA146" s="14"/>
      <c r="AB146" s="14"/>
      <c r="AC146" s="14"/>
    </row>
    <row r="147" spans="1:29">
      <c r="A147" s="315" t="s">
        <v>550</v>
      </c>
      <c r="B147" s="14"/>
      <c r="C147" s="224"/>
      <c r="D147" s="224"/>
      <c r="E147" s="328"/>
      <c r="F147" s="328"/>
      <c r="G147" s="328"/>
      <c r="H147" s="328"/>
      <c r="I147" s="328"/>
      <c r="J147" s="328"/>
      <c r="K147" s="328"/>
      <c r="L147" s="328"/>
      <c r="M147" s="224"/>
      <c r="N147" s="224"/>
      <c r="O147" s="224"/>
      <c r="P147" s="14"/>
      <c r="Q147" s="14"/>
      <c r="R147" s="14"/>
      <c r="S147" s="14"/>
      <c r="T147" s="14"/>
      <c r="U147" s="14"/>
      <c r="V147" s="14"/>
      <c r="W147" s="14"/>
      <c r="X147" s="14"/>
      <c r="Y147" s="14"/>
      <c r="Z147" s="14"/>
      <c r="AA147" s="14"/>
      <c r="AB147" s="14"/>
      <c r="AC147" s="14"/>
    </row>
    <row r="148" spans="1:29">
      <c r="A148" s="316" t="s">
        <v>538</v>
      </c>
      <c r="B148" s="316" t="s">
        <v>2</v>
      </c>
      <c r="C148" s="394">
        <v>2742.3359999999998</v>
      </c>
      <c r="D148" s="394">
        <v>2742.3359999999998</v>
      </c>
      <c r="E148" s="68"/>
      <c r="F148" s="68"/>
      <c r="G148" s="68"/>
      <c r="H148" s="68"/>
      <c r="I148" s="68"/>
      <c r="J148" s="68"/>
      <c r="K148" s="68"/>
      <c r="L148" s="68"/>
      <c r="M148" s="224"/>
      <c r="N148" s="224"/>
      <c r="O148" s="228">
        <f>INDEX(C148:L148,1,$O$8)</f>
        <v>2742.3359999999998</v>
      </c>
      <c r="P148" s="14"/>
      <c r="Q148" s="14"/>
      <c r="R148" s="14"/>
      <c r="S148" s="14"/>
      <c r="T148" s="14"/>
      <c r="U148" s="14"/>
      <c r="V148" s="14"/>
      <c r="W148" s="14"/>
      <c r="X148" s="14"/>
      <c r="Y148" s="14"/>
      <c r="Z148" s="14"/>
      <c r="AA148" s="14"/>
      <c r="AB148" s="14"/>
      <c r="AC148" s="14"/>
    </row>
    <row r="149" spans="1:29">
      <c r="A149" s="318" t="s">
        <v>500</v>
      </c>
      <c r="B149" s="318" t="s">
        <v>551</v>
      </c>
      <c r="C149" s="394">
        <v>6.7288799999999993</v>
      </c>
      <c r="D149" s="394">
        <v>6.7288799999999993</v>
      </c>
      <c r="E149" s="465"/>
      <c r="F149" s="465"/>
      <c r="G149" s="68"/>
      <c r="H149" s="68"/>
      <c r="I149" s="68"/>
      <c r="J149" s="68"/>
      <c r="K149" s="68"/>
      <c r="L149" s="68"/>
      <c r="M149" s="224"/>
      <c r="N149" s="224"/>
      <c r="O149" s="226">
        <f>INDEX(C149:L149,1,$O$8)</f>
        <v>6.7288799999999993</v>
      </c>
      <c r="P149" s="14"/>
      <c r="Q149" s="14"/>
      <c r="R149" s="14"/>
      <c r="S149" s="14"/>
      <c r="T149" s="14"/>
      <c r="U149" s="14"/>
      <c r="V149" s="14"/>
      <c r="W149" s="14"/>
      <c r="X149" s="14"/>
      <c r="Y149" s="14"/>
      <c r="Z149" s="14"/>
      <c r="AA149" s="14"/>
      <c r="AB149" s="14"/>
      <c r="AC149" s="14"/>
    </row>
    <row r="150" spans="1:29">
      <c r="A150" s="14"/>
      <c r="B150" s="14"/>
      <c r="C150" s="224"/>
      <c r="D150" s="224"/>
      <c r="E150" s="328"/>
      <c r="F150" s="328"/>
      <c r="G150" s="328"/>
      <c r="H150" s="328"/>
      <c r="I150" s="328"/>
      <c r="J150" s="328"/>
      <c r="K150" s="328"/>
      <c r="L150" s="328"/>
      <c r="M150" s="224"/>
      <c r="N150" s="224"/>
      <c r="O150" s="224"/>
      <c r="P150" s="14"/>
      <c r="Q150" s="14"/>
      <c r="R150" s="14"/>
      <c r="S150" s="14"/>
      <c r="T150" s="14"/>
      <c r="U150" s="14"/>
      <c r="V150" s="14"/>
      <c r="W150" s="14"/>
      <c r="X150" s="14"/>
      <c r="Y150" s="14"/>
      <c r="Z150" s="14"/>
      <c r="AA150" s="14"/>
      <c r="AB150" s="14"/>
      <c r="AC150" s="14"/>
    </row>
    <row r="151" spans="1:29">
      <c r="A151" s="315" t="s">
        <v>162</v>
      </c>
      <c r="B151" s="14"/>
      <c r="C151" s="224"/>
      <c r="D151" s="224"/>
      <c r="E151" s="328"/>
      <c r="F151" s="328"/>
      <c r="G151" s="328"/>
      <c r="H151" s="328"/>
      <c r="I151" s="328"/>
      <c r="J151" s="328"/>
      <c r="K151" s="328"/>
      <c r="L151" s="328"/>
      <c r="M151" s="224"/>
      <c r="N151" s="224"/>
      <c r="O151" s="224"/>
      <c r="P151" s="14"/>
      <c r="Q151" s="14"/>
      <c r="R151" s="14"/>
      <c r="S151" s="14"/>
      <c r="T151" s="14"/>
      <c r="U151" s="14"/>
      <c r="V151" s="14"/>
      <c r="W151" s="14"/>
      <c r="X151" s="14"/>
      <c r="Y151" s="14"/>
      <c r="Z151" s="14"/>
      <c r="AA151" s="14"/>
      <c r="AB151" s="14"/>
      <c r="AC151" s="14"/>
    </row>
    <row r="152" spans="1:29">
      <c r="A152" s="316" t="s">
        <v>552</v>
      </c>
      <c r="B152" s="316" t="s">
        <v>2</v>
      </c>
      <c r="C152" s="394">
        <v>34279.19999999999</v>
      </c>
      <c r="D152" s="394">
        <v>54846.719999999987</v>
      </c>
      <c r="E152" s="68"/>
      <c r="F152" s="68"/>
      <c r="G152" s="68"/>
      <c r="H152" s="68"/>
      <c r="I152" s="68"/>
      <c r="J152" s="68"/>
      <c r="K152" s="68"/>
      <c r="L152" s="68"/>
      <c r="M152" s="224"/>
      <c r="N152" s="224"/>
      <c r="O152" s="228">
        <f>INDEX(C152:L152,1,$O$8)</f>
        <v>54846.719999999987</v>
      </c>
      <c r="P152" s="14"/>
      <c r="Q152" s="14"/>
      <c r="R152" s="14"/>
      <c r="S152" s="14"/>
      <c r="T152" s="14"/>
      <c r="U152" s="14"/>
      <c r="V152" s="14"/>
      <c r="W152" s="14"/>
      <c r="X152" s="14"/>
      <c r="Y152" s="14"/>
      <c r="Z152" s="14"/>
      <c r="AA152" s="14"/>
      <c r="AB152" s="14"/>
      <c r="AC152" s="14"/>
    </row>
    <row r="153" spans="1:29">
      <c r="A153" s="317" t="s">
        <v>553</v>
      </c>
      <c r="B153" s="317" t="s">
        <v>2</v>
      </c>
      <c r="C153" s="394">
        <v>3427.9199999999992</v>
      </c>
      <c r="D153" s="394">
        <v>0</v>
      </c>
      <c r="E153" s="68"/>
      <c r="F153" s="68"/>
      <c r="G153" s="68"/>
      <c r="H153" s="68"/>
      <c r="I153" s="68"/>
      <c r="J153" s="68"/>
      <c r="K153" s="68"/>
      <c r="L153" s="68"/>
      <c r="M153" s="224"/>
      <c r="N153" s="224"/>
      <c r="O153" s="225">
        <f>INDEX(C153:L153,1,$O$8)</f>
        <v>0</v>
      </c>
      <c r="P153" s="14"/>
      <c r="Q153" s="14"/>
      <c r="R153" s="14"/>
      <c r="S153" s="14"/>
      <c r="T153" s="14"/>
      <c r="U153" s="14"/>
      <c r="V153" s="14"/>
      <c r="W153" s="14"/>
      <c r="X153" s="14"/>
      <c r="Y153" s="14"/>
      <c r="Z153" s="14"/>
      <c r="AA153" s="14"/>
      <c r="AB153" s="14"/>
      <c r="AC153" s="14"/>
    </row>
    <row r="154" spans="1:29">
      <c r="A154" s="318" t="s">
        <v>554</v>
      </c>
      <c r="B154" s="318" t="s">
        <v>555</v>
      </c>
      <c r="C154" s="394">
        <v>10.600000000000001</v>
      </c>
      <c r="D154" s="394">
        <v>10.600000000000001</v>
      </c>
      <c r="E154" s="68"/>
      <c r="F154" s="68"/>
      <c r="G154" s="68"/>
      <c r="H154" s="68"/>
      <c r="I154" s="7"/>
      <c r="J154" s="7"/>
      <c r="K154" s="7"/>
      <c r="L154" s="7"/>
      <c r="M154" s="14"/>
      <c r="N154" s="14"/>
      <c r="O154" s="223">
        <f>INDEX(C154:L154,1,$O$8)</f>
        <v>10.600000000000001</v>
      </c>
      <c r="P154" s="14"/>
      <c r="Q154" s="14"/>
      <c r="R154" s="14"/>
      <c r="S154" s="14"/>
      <c r="T154" s="14"/>
      <c r="U154" s="14"/>
      <c r="V154" s="14"/>
      <c r="W154" s="14"/>
      <c r="X154" s="14"/>
      <c r="Y154" s="14"/>
      <c r="Z154" s="14"/>
      <c r="AA154" s="14"/>
      <c r="AB154" s="14"/>
      <c r="AC154" s="14"/>
    </row>
    <row r="155" spans="1:29">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c r="AA155" s="14"/>
      <c r="AB155" s="14"/>
      <c r="AC155" s="14"/>
    </row>
    <row r="156" spans="1:29">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c r="AA156" s="14"/>
      <c r="AB156" s="14"/>
      <c r="AC156" s="14"/>
    </row>
    <row r="157" spans="1:29">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c r="AA157" s="14"/>
      <c r="AB157" s="14"/>
      <c r="AC157" s="14"/>
    </row>
    <row r="158" spans="1:29">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c r="AA158" s="14"/>
      <c r="AB158" s="14"/>
      <c r="AC158" s="14"/>
    </row>
    <row r="159" spans="1:29">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c r="AA159" s="14"/>
      <c r="AB159" s="14"/>
      <c r="AC159" s="14"/>
    </row>
    <row r="160" spans="1:29">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c r="AA160" s="14"/>
      <c r="AB160" s="14"/>
      <c r="AC160" s="14"/>
    </row>
    <row r="161" spans="1:29">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c r="AA161" s="14"/>
      <c r="AB161" s="14"/>
      <c r="AC161" s="14"/>
    </row>
    <row r="162" spans="1:29">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c r="AA162" s="14"/>
      <c r="AB162" s="14"/>
      <c r="AC162" s="14"/>
    </row>
    <row r="163" spans="1:29">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c r="AA163" s="14"/>
      <c r="AB163" s="14"/>
      <c r="AC163" s="14"/>
    </row>
    <row r="164" spans="1:29">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c r="AA164" s="14"/>
      <c r="AB164" s="14"/>
      <c r="AC164" s="14"/>
    </row>
    <row r="165" spans="1:29">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c r="AA165" s="14"/>
      <c r="AB165" s="14"/>
      <c r="AC165" s="14"/>
    </row>
    <row r="166" spans="1:29">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c r="AA166" s="14"/>
      <c r="AB166" s="14"/>
      <c r="AC166" s="14"/>
    </row>
    <row r="167" spans="1:29">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c r="AA167" s="14"/>
      <c r="AB167" s="14"/>
      <c r="AC167" s="14"/>
    </row>
    <row r="168" spans="1:29">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c r="AA168" s="14"/>
      <c r="AB168" s="14"/>
      <c r="AC168" s="14"/>
    </row>
    <row r="169" spans="1:29">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c r="AA169" s="14"/>
      <c r="AB169" s="14"/>
      <c r="AC169" s="14"/>
    </row>
    <row r="170" spans="1:29">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c r="AA170" s="14"/>
      <c r="AB170" s="14"/>
      <c r="AC170" s="14"/>
    </row>
    <row r="171" spans="1:29">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c r="AA171" s="14"/>
      <c r="AB171" s="14"/>
      <c r="AC171" s="14"/>
    </row>
    <row r="172" spans="1:29">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c r="AA172" s="14"/>
      <c r="AB172" s="14"/>
      <c r="AC172" s="14"/>
    </row>
    <row r="173" spans="1:29">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c r="AA173" s="14"/>
      <c r="AB173" s="14"/>
      <c r="AC173" s="14"/>
    </row>
    <row r="174" spans="1:29">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c r="AA174" s="14"/>
      <c r="AB174" s="14"/>
      <c r="AC174" s="14"/>
    </row>
    <row r="175" spans="1:29">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c r="AA175" s="14"/>
      <c r="AB175" s="14"/>
      <c r="AC175" s="14"/>
    </row>
    <row r="176" spans="1:29">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c r="AA176" s="14"/>
      <c r="AB176" s="14"/>
      <c r="AC176" s="14"/>
    </row>
    <row r="177" spans="1:29">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c r="AA177" s="14"/>
      <c r="AB177" s="14"/>
      <c r="AC177" s="14"/>
    </row>
    <row r="178" spans="1:29">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c r="AA178" s="14"/>
      <c r="AB178" s="14"/>
      <c r="AC178" s="14"/>
    </row>
    <row r="179" spans="1:29">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c r="AA179" s="14"/>
      <c r="AB179" s="14"/>
      <c r="AC179" s="14"/>
    </row>
    <row r="180" spans="1:29">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c r="AA180" s="14"/>
      <c r="AB180" s="14"/>
      <c r="AC180" s="14"/>
    </row>
    <row r="181" spans="1:29">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c r="AA181" s="14"/>
      <c r="AB181" s="14"/>
      <c r="AC181" s="14"/>
    </row>
    <row r="182" spans="1:29">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c r="AA182" s="14"/>
      <c r="AB182" s="14"/>
      <c r="AC182" s="14"/>
    </row>
    <row r="183" spans="1:29">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c r="AA183" s="14"/>
      <c r="AB183" s="14"/>
      <c r="AC183" s="14"/>
    </row>
    <row r="184" spans="1:29">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c r="AA184" s="14"/>
      <c r="AB184" s="14"/>
      <c r="AC184" s="14"/>
    </row>
    <row r="185" spans="1:29">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c r="AA185" s="14"/>
      <c r="AB185" s="14"/>
      <c r="AC185" s="14"/>
    </row>
    <row r="186" spans="1:29">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c r="AA186" s="14"/>
      <c r="AB186" s="14"/>
      <c r="AC186" s="14"/>
    </row>
    <row r="187" spans="1:29">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c r="AA187" s="14"/>
      <c r="AB187" s="14"/>
      <c r="AC187" s="14"/>
    </row>
    <row r="188" spans="1:29">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c r="AA188" s="14"/>
      <c r="AB188" s="14"/>
      <c r="AC188" s="14"/>
    </row>
    <row r="189" spans="1:29">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c r="AA189" s="14"/>
      <c r="AB189" s="14"/>
      <c r="AC189" s="14"/>
    </row>
    <row r="190" spans="1:29">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c r="AA190" s="14"/>
      <c r="AB190" s="14"/>
      <c r="AC190" s="14"/>
    </row>
    <row r="191" spans="1:29">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c r="AA191" s="14"/>
      <c r="AB191" s="14"/>
      <c r="AC191" s="14"/>
    </row>
    <row r="192" spans="1:29">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c r="AA192" s="14"/>
      <c r="AB192" s="14"/>
      <c r="AC192" s="14"/>
    </row>
    <row r="193" spans="1:29">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c r="AA193" s="14"/>
      <c r="AB193" s="14"/>
      <c r="AC193" s="14"/>
    </row>
    <row r="194" spans="1:29">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c r="AA194" s="14"/>
      <c r="AB194" s="14"/>
      <c r="AC194" s="14"/>
    </row>
    <row r="195" spans="1:29">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c r="AA195" s="14"/>
      <c r="AB195" s="14"/>
      <c r="AC195" s="14"/>
    </row>
    <row r="196" spans="1:29">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c r="AA196" s="14"/>
      <c r="AB196" s="14"/>
      <c r="AC196" s="14"/>
    </row>
    <row r="197" spans="1:29">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c r="AA197" s="14"/>
      <c r="AB197" s="14"/>
      <c r="AC197" s="14"/>
    </row>
    <row r="198" spans="1:29">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c r="AA198" s="14"/>
      <c r="AB198" s="14"/>
      <c r="AC198" s="14"/>
    </row>
    <row r="199" spans="1:29">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c r="AA199" s="14"/>
      <c r="AB199" s="14"/>
      <c r="AC199" s="14"/>
    </row>
    <row r="200" spans="1:29">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c r="AA200" s="14"/>
      <c r="AB200" s="14"/>
      <c r="AC200" s="14"/>
    </row>
    <row r="201" spans="1:29">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c r="AA201" s="14"/>
      <c r="AB201" s="14"/>
      <c r="AC201" s="14"/>
    </row>
    <row r="202" spans="1:29">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c r="AA202" s="14"/>
      <c r="AB202" s="14"/>
      <c r="AC202" s="14"/>
    </row>
    <row r="203" spans="1:29">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c r="AA203" s="14"/>
      <c r="AB203" s="14"/>
      <c r="AC203" s="14"/>
    </row>
    <row r="204" spans="1:29">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c r="AA204" s="14"/>
      <c r="AB204" s="14"/>
      <c r="AC204" s="14"/>
    </row>
    <row r="205" spans="1:29">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c r="AA205" s="14"/>
      <c r="AB205" s="14"/>
      <c r="AC205" s="14"/>
    </row>
    <row r="206" spans="1:29">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c r="AA206" s="14"/>
      <c r="AB206" s="14"/>
      <c r="AC206" s="14"/>
    </row>
    <row r="207" spans="1:29">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c r="AA207" s="14"/>
      <c r="AB207" s="14"/>
      <c r="AC207" s="14"/>
    </row>
    <row r="208" spans="1:29">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c r="AA208" s="14"/>
      <c r="AB208" s="14"/>
      <c r="AC208" s="14"/>
    </row>
    <row r="209" spans="1:29">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c r="AA209" s="14"/>
      <c r="AB209" s="14"/>
      <c r="AC209" s="14"/>
    </row>
    <row r="210" spans="1:29">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c r="AA210" s="14"/>
      <c r="AB210" s="14"/>
      <c r="AC210" s="14"/>
    </row>
    <row r="211" spans="1:29">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c r="AA211" s="14"/>
      <c r="AB211" s="14"/>
      <c r="AC211" s="14"/>
    </row>
    <row r="212" spans="1:29">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c r="AA212" s="14"/>
      <c r="AB212" s="14"/>
      <c r="AC212" s="14"/>
    </row>
  </sheetData>
  <sheetProtection algorithmName="SHA-512" hashValue="GeAgwU4aDvSOd0JfD8K2qSStP8o+l9l08BKWEb4JRh+lDmOjBJt7TqufIwTLHf/K65KfugyLgUbaDpwrumrgTQ==" saltValue="xXx85OrI9IbsVJanTv1FXA==" spinCount="100000" sheet="1" objects="1" scenarios="1"/>
  <mergeCells count="20">
    <mergeCell ref="C5:D5"/>
    <mergeCell ref="E5:F5"/>
    <mergeCell ref="G5:H5"/>
    <mergeCell ref="I5:J5"/>
    <mergeCell ref="K5:L5"/>
    <mergeCell ref="C6:D6"/>
    <mergeCell ref="E6:F6"/>
    <mergeCell ref="G6:H6"/>
    <mergeCell ref="I6:J6"/>
    <mergeCell ref="K6:L6"/>
    <mergeCell ref="C3:D3"/>
    <mergeCell ref="E3:F3"/>
    <mergeCell ref="G3:H3"/>
    <mergeCell ref="I3:J3"/>
    <mergeCell ref="K3:L3"/>
    <mergeCell ref="C4:D4"/>
    <mergeCell ref="E4:F4"/>
    <mergeCell ref="G4:H4"/>
    <mergeCell ref="I4:J4"/>
    <mergeCell ref="K4:L4"/>
  </mergeCells>
  <dataValidations count="3">
    <dataValidation allowBlank="1" showInputMessage="1" showErrorMessage="1" prompt="Enter the name of the Capital Cost assumptions set_x000a_" sqref="E4:L4" xr:uid="{00000000-0002-0000-1000-000000000000}"/>
    <dataValidation allowBlank="1" showInputMessage="1" showErrorMessage="1" prompt="Enter the estimate date for the Capital Cost Set - costs will be inflated from the year following the estimate date" sqref="E5:L5" xr:uid="{00000000-0002-0000-1000-000001000000}"/>
    <dataValidation allowBlank="1" showInputMessage="1" showErrorMessage="1" prompt="Enter the Water Depth to swtich from the Shallow Water unit costs to the Deep Water unit costs " sqref="E6:L6" xr:uid="{00000000-0002-0000-1000-000002000000}"/>
  </dataValidations>
  <hyperlinks>
    <hyperlink ref="B1" location="Guide" display="Guide" xr:uid="{00000000-0004-0000-1000-000000000000}"/>
    <hyperlink ref="B2" location="Input" display="Input" xr:uid="{00000000-0004-0000-1000-000001000000}"/>
  </hyperlinks>
  <pageMargins left="0.7" right="0.7" top="0.75" bottom="0.75" header="0.3" footer="0.3"/>
  <pageSetup paperSize="9" scale="38" fitToHeight="0" orientation="portrait" r:id="rId1"/>
  <headerFooter>
    <oddFooter>&amp;LNova Scotia Exploration Economics Model&amp;Rwww.indeva.com</oddFooter>
  </headerFooter>
  <rowBreaks count="1" manualBreakCount="1">
    <brk id="85" max="14"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theme="9" tint="-0.249977111117893"/>
    <pageSetUpPr fitToPage="1"/>
  </sheetPr>
  <dimension ref="A1:AJ222"/>
  <sheetViews>
    <sheetView showGridLines="0" showRowColHeaders="0" zoomScale="90" zoomScaleNormal="90" workbookViewId="0">
      <pane ySplit="2" topLeftCell="A3" activePane="bottomLeft" state="frozen"/>
      <selection activeCell="D43" sqref="D43"/>
      <selection pane="bottomLeft" activeCell="A3" sqref="A3"/>
    </sheetView>
  </sheetViews>
  <sheetFormatPr defaultRowHeight="15"/>
  <cols>
    <col min="1" max="1" width="24.42578125" customWidth="1"/>
    <col min="2" max="2" width="12.7109375" customWidth="1"/>
    <col min="3" max="3" width="16.140625" customWidth="1"/>
    <col min="4" max="4" width="11.140625" customWidth="1"/>
    <col min="5" max="5" width="13.28515625" customWidth="1"/>
    <col min="6" max="6" width="14.42578125" customWidth="1"/>
    <col min="7" max="7" width="15" customWidth="1"/>
    <col min="8" max="8" width="12.5703125" customWidth="1"/>
    <col min="9" max="9" width="13.28515625" customWidth="1"/>
  </cols>
  <sheetData>
    <row r="1" spans="1:36" ht="18.75">
      <c r="A1" s="312" t="s">
        <v>433</v>
      </c>
      <c r="B1" s="14"/>
      <c r="C1" s="14"/>
      <c r="D1" s="14"/>
      <c r="E1" s="93" t="s">
        <v>756</v>
      </c>
      <c r="F1" s="14"/>
      <c r="G1" s="14"/>
      <c r="H1" s="14"/>
      <c r="I1" s="14"/>
      <c r="J1" s="9"/>
      <c r="K1" s="9"/>
      <c r="L1" s="9"/>
      <c r="M1" s="9"/>
      <c r="N1" s="9"/>
      <c r="O1" s="9"/>
      <c r="P1" s="9"/>
      <c r="Q1" s="9"/>
      <c r="R1" s="9"/>
      <c r="S1" s="9"/>
      <c r="T1" s="9"/>
      <c r="U1" s="9"/>
      <c r="V1" s="9"/>
      <c r="W1" s="9"/>
      <c r="X1" s="9"/>
      <c r="Y1" s="9"/>
      <c r="Z1" s="9"/>
      <c r="AA1" s="9"/>
      <c r="AB1" s="9"/>
      <c r="AC1" s="9"/>
      <c r="AD1" s="9"/>
      <c r="AE1" s="9"/>
      <c r="AF1" s="1"/>
      <c r="AG1" s="1"/>
      <c r="AH1" s="1"/>
      <c r="AI1" s="1"/>
      <c r="AJ1" s="1"/>
    </row>
    <row r="2" spans="1:36" ht="18.75">
      <c r="A2" s="14"/>
      <c r="B2" s="14"/>
      <c r="C2" s="14"/>
      <c r="D2" s="14"/>
      <c r="E2" s="93" t="s">
        <v>139</v>
      </c>
      <c r="F2" s="14"/>
      <c r="G2" s="14"/>
      <c r="H2" s="14"/>
      <c r="I2" s="14"/>
      <c r="J2" s="9"/>
      <c r="K2" s="9"/>
      <c r="L2" s="9"/>
      <c r="M2" s="9"/>
      <c r="N2" s="9"/>
      <c r="O2" s="9"/>
      <c r="P2" s="9"/>
      <c r="Q2" s="9"/>
      <c r="R2" s="9"/>
      <c r="S2" s="9"/>
      <c r="T2" s="9"/>
      <c r="U2" s="9"/>
      <c r="V2" s="9"/>
      <c r="W2" s="9"/>
      <c r="X2" s="9"/>
      <c r="Y2" s="9"/>
      <c r="Z2" s="9"/>
      <c r="AA2" s="9"/>
      <c r="AB2" s="9"/>
      <c r="AC2" s="9"/>
      <c r="AD2" s="9"/>
      <c r="AE2" s="9"/>
      <c r="AF2" s="1"/>
      <c r="AG2" s="1"/>
      <c r="AH2" s="1"/>
      <c r="AI2" s="1"/>
      <c r="AJ2" s="1"/>
    </row>
    <row r="3" spans="1:36">
      <c r="A3" s="319" t="s">
        <v>434</v>
      </c>
      <c r="B3" s="14"/>
      <c r="C3" s="14"/>
      <c r="D3" s="14"/>
      <c r="E3" s="14"/>
      <c r="F3" s="14"/>
      <c r="G3" s="14"/>
      <c r="H3" s="14"/>
      <c r="I3" s="14"/>
      <c r="J3" s="9"/>
      <c r="K3" s="9"/>
      <c r="L3" s="9"/>
      <c r="M3" s="9"/>
      <c r="N3" s="9"/>
      <c r="O3" s="9"/>
      <c r="P3" s="9"/>
      <c r="Q3" s="9"/>
      <c r="R3" s="9"/>
      <c r="S3" s="9"/>
      <c r="T3" s="9"/>
      <c r="U3" s="9"/>
      <c r="V3" s="9"/>
      <c r="W3" s="9"/>
      <c r="X3" s="9"/>
      <c r="Y3" s="9"/>
      <c r="Z3" s="9"/>
      <c r="AA3" s="9"/>
      <c r="AB3" s="9"/>
      <c r="AC3" s="9"/>
      <c r="AD3" s="9"/>
      <c r="AE3" s="9"/>
      <c r="AF3" s="9"/>
      <c r="AG3" s="9"/>
      <c r="AH3" s="9"/>
      <c r="AI3" s="9"/>
      <c r="AJ3" s="9"/>
    </row>
    <row r="4" spans="1:36">
      <c r="A4" s="14" t="s">
        <v>661</v>
      </c>
      <c r="B4" s="14"/>
      <c r="C4" s="14"/>
      <c r="D4" s="14"/>
      <c r="E4" s="14"/>
      <c r="F4" s="14" t="s">
        <v>660</v>
      </c>
      <c r="G4" s="14"/>
      <c r="H4" s="14"/>
      <c r="I4" s="14"/>
      <c r="J4" s="9"/>
      <c r="K4" s="9"/>
      <c r="L4" s="9"/>
      <c r="M4" s="9"/>
      <c r="N4" s="9"/>
      <c r="O4" s="9"/>
      <c r="P4" s="9"/>
      <c r="Q4" s="9"/>
      <c r="R4" s="9"/>
      <c r="S4" s="9"/>
      <c r="T4" s="9"/>
      <c r="U4" s="9"/>
      <c r="V4" s="9"/>
      <c r="W4" s="9"/>
      <c r="X4" s="9"/>
      <c r="Y4" s="9"/>
      <c r="Z4" s="9"/>
      <c r="AA4" s="9"/>
      <c r="AB4" s="9"/>
      <c r="AC4" s="9"/>
      <c r="AD4" s="9"/>
      <c r="AE4" s="9"/>
      <c r="AF4" s="9"/>
      <c r="AG4" s="9"/>
      <c r="AH4" s="9"/>
      <c r="AI4" s="9"/>
      <c r="AJ4" s="9"/>
    </row>
    <row r="5" spans="1:36">
      <c r="A5" s="219" t="s">
        <v>110</v>
      </c>
      <c r="B5" s="219" t="s">
        <v>307</v>
      </c>
      <c r="C5" s="219" t="s">
        <v>110</v>
      </c>
      <c r="D5" s="219" t="s">
        <v>325</v>
      </c>
      <c r="E5" s="14"/>
      <c r="F5" s="219" t="s">
        <v>110</v>
      </c>
      <c r="G5" s="219" t="s">
        <v>307</v>
      </c>
      <c r="H5" s="219" t="s">
        <v>110</v>
      </c>
      <c r="I5" s="219" t="s">
        <v>325</v>
      </c>
      <c r="J5" s="9"/>
      <c r="K5" s="9"/>
      <c r="L5" s="9"/>
      <c r="M5" s="9"/>
      <c r="N5" s="9"/>
      <c r="O5" s="9"/>
      <c r="P5" s="9"/>
      <c r="Q5" s="9"/>
      <c r="R5" s="9"/>
      <c r="S5" s="9"/>
      <c r="T5" s="9"/>
      <c r="U5" s="9"/>
      <c r="V5" s="9"/>
      <c r="W5" s="9"/>
      <c r="X5" s="9"/>
      <c r="Y5" s="9"/>
      <c r="Z5" s="9"/>
      <c r="AA5" s="9"/>
      <c r="AB5" s="9"/>
      <c r="AC5" s="9"/>
      <c r="AD5" s="9"/>
      <c r="AE5" s="9"/>
      <c r="AF5" s="9"/>
      <c r="AG5" s="9"/>
      <c r="AH5" s="9"/>
      <c r="AI5" s="9"/>
      <c r="AJ5" s="9"/>
    </row>
    <row r="6" spans="1:36">
      <c r="A6" s="500" t="s">
        <v>315</v>
      </c>
      <c r="B6" s="500" t="s">
        <v>435</v>
      </c>
      <c r="C6" s="500" t="s">
        <v>436</v>
      </c>
      <c r="D6" s="500" t="s">
        <v>415</v>
      </c>
      <c r="E6" s="14"/>
      <c r="F6" s="500" t="s">
        <v>638</v>
      </c>
      <c r="G6" s="500" t="s">
        <v>435</v>
      </c>
      <c r="H6" s="500" t="s">
        <v>436</v>
      </c>
      <c r="I6" s="500" t="s">
        <v>415</v>
      </c>
      <c r="J6" s="9"/>
      <c r="K6" s="9"/>
      <c r="L6" s="9"/>
      <c r="M6" s="9"/>
      <c r="N6" s="9"/>
      <c r="O6" s="9"/>
      <c r="P6" s="9"/>
      <c r="Q6" s="9"/>
      <c r="R6" s="9"/>
      <c r="S6" s="9"/>
      <c r="T6" s="9"/>
      <c r="U6" s="9"/>
      <c r="V6" s="9"/>
      <c r="W6" s="9"/>
      <c r="X6" s="9"/>
      <c r="Y6" s="9"/>
      <c r="Z6" s="9"/>
      <c r="AA6" s="9"/>
      <c r="AB6" s="9"/>
      <c r="AC6" s="9"/>
      <c r="AD6" s="9"/>
      <c r="AE6" s="9"/>
      <c r="AF6" s="9"/>
      <c r="AG6" s="9"/>
      <c r="AH6" s="9"/>
      <c r="AI6" s="9"/>
      <c r="AJ6" s="9"/>
    </row>
    <row r="7" spans="1:36">
      <c r="A7" s="7">
        <v>0</v>
      </c>
      <c r="B7" s="34">
        <v>0.17</v>
      </c>
      <c r="C7" s="34">
        <v>0.6</v>
      </c>
      <c r="D7" s="34">
        <v>0.25</v>
      </c>
      <c r="E7" s="9"/>
      <c r="F7" s="7">
        <v>0</v>
      </c>
      <c r="G7" s="34">
        <v>0.16</v>
      </c>
      <c r="H7" s="34">
        <v>0.4</v>
      </c>
      <c r="I7" s="34">
        <v>0.17</v>
      </c>
      <c r="J7" s="9"/>
      <c r="K7" s="9"/>
      <c r="L7" s="9"/>
      <c r="M7" s="9"/>
      <c r="N7" s="9"/>
      <c r="O7" s="9"/>
      <c r="P7" s="9"/>
      <c r="Q7" s="9"/>
      <c r="R7" s="9"/>
      <c r="S7" s="9"/>
      <c r="T7" s="9"/>
      <c r="U7" s="9"/>
      <c r="V7" s="9"/>
      <c r="W7" s="9"/>
      <c r="X7" s="9"/>
      <c r="Y7" s="9"/>
      <c r="Z7" s="9"/>
      <c r="AA7" s="9"/>
      <c r="AB7" s="9"/>
      <c r="AC7" s="9"/>
      <c r="AD7" s="9"/>
      <c r="AE7" s="9"/>
      <c r="AF7" s="9"/>
      <c r="AG7" s="9"/>
      <c r="AH7" s="9"/>
      <c r="AI7" s="9"/>
      <c r="AJ7" s="9"/>
    </row>
    <row r="8" spans="1:36">
      <c r="A8" s="7">
        <v>200</v>
      </c>
      <c r="B8" s="34">
        <v>0.15</v>
      </c>
      <c r="C8" s="34">
        <v>0.6</v>
      </c>
      <c r="D8" s="34">
        <v>0.25</v>
      </c>
      <c r="E8" s="9"/>
      <c r="F8" s="7">
        <v>100</v>
      </c>
      <c r="G8" s="34">
        <v>0.13</v>
      </c>
      <c r="H8" s="34">
        <v>0.4</v>
      </c>
      <c r="I8" s="34">
        <v>0.17</v>
      </c>
      <c r="J8" s="9"/>
      <c r="K8" s="9"/>
      <c r="L8" s="9"/>
      <c r="M8" s="9"/>
      <c r="N8" s="9"/>
      <c r="O8" s="9"/>
      <c r="P8" s="9"/>
      <c r="Q8" s="9"/>
      <c r="R8" s="9"/>
      <c r="S8" s="9"/>
      <c r="T8" s="9"/>
      <c r="U8" s="9"/>
      <c r="V8" s="9"/>
      <c r="W8" s="9"/>
      <c r="X8" s="9"/>
      <c r="Y8" s="9"/>
      <c r="Z8" s="9"/>
      <c r="AA8" s="9"/>
      <c r="AB8" s="9"/>
      <c r="AC8" s="9"/>
      <c r="AD8" s="9"/>
      <c r="AE8" s="9"/>
      <c r="AF8" s="9"/>
      <c r="AG8" s="9"/>
      <c r="AH8" s="9"/>
      <c r="AI8" s="9"/>
      <c r="AJ8" s="9"/>
    </row>
    <row r="9" spans="1:36">
      <c r="A9" s="7">
        <v>500</v>
      </c>
      <c r="B9" s="34">
        <v>0.14000000000000001</v>
      </c>
      <c r="C9" s="34">
        <v>0.6</v>
      </c>
      <c r="D9" s="34">
        <v>0.22</v>
      </c>
      <c r="E9" s="9"/>
      <c r="F9" s="7">
        <v>200</v>
      </c>
      <c r="G9" s="34">
        <v>0.1</v>
      </c>
      <c r="H9" s="34">
        <v>0.4</v>
      </c>
      <c r="I9" s="34">
        <v>0.15</v>
      </c>
      <c r="J9" s="9"/>
      <c r="K9" s="9"/>
      <c r="L9" s="9"/>
      <c r="M9" s="9"/>
      <c r="N9" s="9"/>
      <c r="O9" s="9"/>
      <c r="P9" s="9"/>
      <c r="Q9" s="9"/>
      <c r="R9" s="9"/>
      <c r="S9" s="9"/>
      <c r="T9" s="9"/>
      <c r="U9" s="9"/>
      <c r="V9" s="9"/>
      <c r="W9" s="9"/>
      <c r="X9" s="9"/>
      <c r="Y9" s="9"/>
      <c r="Z9" s="9"/>
      <c r="AA9" s="9"/>
      <c r="AB9" s="9"/>
      <c r="AC9" s="9"/>
      <c r="AD9" s="9"/>
      <c r="AE9" s="9"/>
      <c r="AF9" s="9"/>
      <c r="AG9" s="9"/>
      <c r="AH9" s="9"/>
      <c r="AI9" s="9"/>
      <c r="AJ9" s="9"/>
    </row>
    <row r="10" spans="1:36">
      <c r="A10" s="7">
        <v>1000</v>
      </c>
      <c r="B10" s="34">
        <v>0.12</v>
      </c>
      <c r="C10" s="34">
        <v>0.6</v>
      </c>
      <c r="D10" s="34">
        <v>0.2</v>
      </c>
      <c r="E10" s="9"/>
      <c r="F10" s="7">
        <v>500</v>
      </c>
      <c r="G10" s="34">
        <v>0.1</v>
      </c>
      <c r="H10" s="34">
        <v>0.4</v>
      </c>
      <c r="I10" s="34">
        <v>0.15</v>
      </c>
      <c r="J10" s="9"/>
      <c r="K10" s="9"/>
      <c r="L10" s="9"/>
      <c r="M10" s="9"/>
      <c r="N10" s="9"/>
      <c r="O10" s="9"/>
      <c r="P10" s="9"/>
      <c r="Q10" s="9"/>
      <c r="R10" s="9"/>
      <c r="S10" s="9"/>
      <c r="T10" s="9"/>
      <c r="U10" s="9"/>
      <c r="V10" s="9"/>
      <c r="W10" s="9"/>
      <c r="X10" s="9"/>
      <c r="Y10" s="9"/>
      <c r="Z10" s="9"/>
      <c r="AA10" s="9"/>
      <c r="AB10" s="9"/>
      <c r="AC10" s="9"/>
      <c r="AD10" s="9"/>
      <c r="AE10" s="9"/>
      <c r="AF10" s="9"/>
      <c r="AG10" s="9"/>
      <c r="AH10" s="9"/>
      <c r="AI10" s="9"/>
      <c r="AJ10" s="9"/>
    </row>
    <row r="11" spans="1:36">
      <c r="A11" s="7">
        <v>2000</v>
      </c>
      <c r="B11" s="34">
        <v>0.08</v>
      </c>
      <c r="C11" s="34">
        <v>0.6</v>
      </c>
      <c r="D11" s="34">
        <v>0.15</v>
      </c>
      <c r="E11" s="9"/>
      <c r="F11" s="7">
        <v>700</v>
      </c>
      <c r="G11" s="34">
        <v>0.1</v>
      </c>
      <c r="H11" s="34">
        <v>0.4</v>
      </c>
      <c r="I11" s="34">
        <v>0.15</v>
      </c>
      <c r="J11" s="9"/>
      <c r="K11" s="9"/>
      <c r="L11" s="9"/>
      <c r="M11" s="9"/>
      <c r="N11" s="9"/>
      <c r="O11" s="9"/>
      <c r="P11" s="9"/>
      <c r="Q11" s="9"/>
      <c r="R11" s="9"/>
      <c r="S11" s="9"/>
      <c r="T11" s="9"/>
      <c r="U11" s="9"/>
      <c r="V11" s="9"/>
      <c r="W11" s="9"/>
      <c r="X11" s="9"/>
      <c r="Y11" s="9"/>
      <c r="Z11" s="9"/>
      <c r="AA11" s="9"/>
      <c r="AB11" s="9"/>
      <c r="AC11" s="9"/>
      <c r="AD11" s="9"/>
      <c r="AE11" s="9"/>
      <c r="AF11" s="9"/>
      <c r="AG11" s="9"/>
      <c r="AH11" s="9"/>
      <c r="AI11" s="9"/>
      <c r="AJ11" s="9"/>
    </row>
    <row r="12" spans="1:36">
      <c r="A12" s="7">
        <v>4000</v>
      </c>
      <c r="B12" s="34">
        <v>0.08</v>
      </c>
      <c r="C12" s="34">
        <v>0.6</v>
      </c>
      <c r="D12" s="34">
        <v>0.15</v>
      </c>
      <c r="E12" s="9"/>
      <c r="F12" s="7">
        <v>900</v>
      </c>
      <c r="G12" s="34">
        <v>0.1</v>
      </c>
      <c r="H12" s="34">
        <v>0.4</v>
      </c>
      <c r="I12" s="34">
        <v>0.15</v>
      </c>
      <c r="J12" s="9"/>
      <c r="K12" s="9"/>
      <c r="L12" s="9"/>
      <c r="M12" s="9"/>
      <c r="N12" s="9"/>
      <c r="O12" s="9"/>
      <c r="P12" s="9"/>
      <c r="Q12" s="9"/>
      <c r="R12" s="9"/>
      <c r="S12" s="9"/>
      <c r="T12" s="9"/>
      <c r="U12" s="9"/>
      <c r="V12" s="9"/>
      <c r="W12" s="9"/>
      <c r="X12" s="9"/>
      <c r="Y12" s="9"/>
      <c r="Z12" s="9"/>
      <c r="AA12" s="9"/>
      <c r="AB12" s="9"/>
      <c r="AC12" s="9"/>
      <c r="AD12" s="9"/>
      <c r="AE12" s="9"/>
      <c r="AF12" s="9"/>
      <c r="AG12" s="9"/>
      <c r="AH12" s="9"/>
      <c r="AI12" s="9"/>
      <c r="AJ12" s="9"/>
    </row>
    <row r="13" spans="1:36">
      <c r="A13" s="7">
        <v>1000000000</v>
      </c>
      <c r="B13" s="34">
        <v>0.08</v>
      </c>
      <c r="C13" s="34">
        <v>0.6</v>
      </c>
      <c r="D13" s="34">
        <v>0.15</v>
      </c>
      <c r="E13" s="9"/>
      <c r="F13" s="7">
        <v>1000000000</v>
      </c>
      <c r="G13" s="34">
        <v>0.1</v>
      </c>
      <c r="H13" s="34">
        <v>0.4</v>
      </c>
      <c r="I13" s="34">
        <v>0.15</v>
      </c>
      <c r="J13" s="9"/>
      <c r="K13" s="9"/>
      <c r="L13" s="9"/>
      <c r="M13" s="9"/>
      <c r="N13" s="9"/>
      <c r="O13" s="9"/>
      <c r="P13" s="9"/>
      <c r="Q13" s="9"/>
      <c r="R13" s="9"/>
      <c r="S13" s="9"/>
      <c r="T13" s="9"/>
      <c r="U13" s="9"/>
      <c r="V13" s="9"/>
      <c r="W13" s="9"/>
      <c r="X13" s="9"/>
      <c r="Y13" s="9"/>
      <c r="Z13" s="9"/>
      <c r="AA13" s="9"/>
      <c r="AB13" s="9"/>
      <c r="AC13" s="9"/>
      <c r="AD13" s="9"/>
      <c r="AE13" s="9"/>
      <c r="AF13" s="9"/>
      <c r="AG13" s="9"/>
      <c r="AH13" s="9"/>
      <c r="AI13" s="9"/>
      <c r="AJ13" s="9"/>
    </row>
    <row r="14" spans="1:36">
      <c r="A14" s="9"/>
      <c r="B14" s="9"/>
      <c r="C14" s="9"/>
      <c r="D14" s="9"/>
      <c r="E14" s="9"/>
      <c r="F14" s="9"/>
      <c r="G14" s="9"/>
      <c r="H14" s="9"/>
      <c r="I14" s="9"/>
      <c r="J14" s="9"/>
      <c r="K14" s="9"/>
      <c r="L14" s="9"/>
      <c r="M14" s="9"/>
      <c r="N14" s="9"/>
      <c r="O14" s="9"/>
      <c r="P14" s="9"/>
      <c r="Q14" s="9"/>
      <c r="R14" s="9"/>
      <c r="S14" s="9"/>
      <c r="T14" s="9"/>
      <c r="U14" s="9"/>
      <c r="V14" s="9"/>
      <c r="W14" s="9"/>
      <c r="X14" s="9"/>
      <c r="Y14" s="9"/>
      <c r="Z14" s="9"/>
      <c r="AA14" s="9"/>
      <c r="AB14" s="9"/>
      <c r="AC14" s="9"/>
      <c r="AD14" s="9"/>
      <c r="AE14" s="9"/>
      <c r="AF14" s="9"/>
      <c r="AG14" s="9"/>
      <c r="AH14" s="9"/>
      <c r="AI14" s="9"/>
      <c r="AJ14" s="9"/>
    </row>
    <row r="15" spans="1:36">
      <c r="A15" s="220" t="s">
        <v>437</v>
      </c>
      <c r="B15" s="35">
        <v>4.8</v>
      </c>
      <c r="C15" s="9"/>
      <c r="D15" s="9"/>
      <c r="E15" s="9"/>
      <c r="F15" s="9"/>
      <c r="G15" s="9"/>
      <c r="H15" s="9"/>
      <c r="I15" s="9"/>
      <c r="J15" s="9"/>
      <c r="K15" s="9"/>
      <c r="L15" s="9"/>
      <c r="M15" s="9"/>
      <c r="N15" s="9"/>
      <c r="O15" s="9"/>
      <c r="P15" s="9"/>
      <c r="Q15" s="9"/>
      <c r="R15" s="9"/>
      <c r="S15" s="9"/>
      <c r="T15" s="9"/>
      <c r="U15" s="9"/>
      <c r="V15" s="9"/>
      <c r="W15" s="9"/>
      <c r="X15" s="9"/>
      <c r="Y15" s="9"/>
      <c r="Z15" s="9"/>
      <c r="AA15" s="9"/>
      <c r="AB15" s="9"/>
      <c r="AC15" s="9"/>
      <c r="AD15" s="9"/>
      <c r="AE15" s="9"/>
      <c r="AF15" s="9"/>
      <c r="AG15" s="9"/>
      <c r="AH15" s="9"/>
      <c r="AI15" s="9"/>
      <c r="AJ15" s="9"/>
    </row>
    <row r="16" spans="1:36">
      <c r="A16" s="14"/>
      <c r="B16" s="9"/>
      <c r="C16" s="9"/>
      <c r="D16" s="9"/>
      <c r="E16" s="9"/>
      <c r="F16" s="9"/>
      <c r="G16" s="9"/>
      <c r="H16" s="9"/>
      <c r="I16" s="9"/>
      <c r="J16" s="9"/>
      <c r="K16" s="9"/>
      <c r="L16" s="9"/>
      <c r="M16" s="9"/>
      <c r="N16" s="9"/>
      <c r="O16" s="9"/>
      <c r="P16" s="9"/>
      <c r="Q16" s="9"/>
      <c r="R16" s="9"/>
      <c r="S16" s="9"/>
      <c r="T16" s="9"/>
      <c r="U16" s="9"/>
      <c r="V16" s="9"/>
      <c r="W16" s="9"/>
      <c r="X16" s="9"/>
      <c r="Y16" s="9"/>
      <c r="Z16" s="9"/>
      <c r="AA16" s="9"/>
      <c r="AB16" s="9"/>
      <c r="AC16" s="9"/>
      <c r="AD16" s="9"/>
      <c r="AE16" s="9"/>
      <c r="AF16" s="9"/>
      <c r="AG16" s="9"/>
      <c r="AH16" s="9"/>
      <c r="AI16" s="9"/>
      <c r="AJ16" s="9"/>
    </row>
    <row r="17" spans="1:36">
      <c r="A17" s="396" t="s">
        <v>751</v>
      </c>
      <c r="B17" s="69"/>
      <c r="C17" s="7">
        <v>5.6</v>
      </c>
      <c r="D17" s="14" t="s">
        <v>752</v>
      </c>
      <c r="E17" s="9"/>
      <c r="F17" s="9"/>
      <c r="G17" s="9"/>
      <c r="H17" s="9"/>
      <c r="I17" s="9"/>
      <c r="J17" s="9"/>
      <c r="K17" s="9"/>
      <c r="L17" s="9"/>
      <c r="M17" s="9"/>
      <c r="N17" s="9"/>
      <c r="O17" s="9"/>
      <c r="P17" s="9"/>
      <c r="Q17" s="9"/>
      <c r="R17" s="9"/>
      <c r="S17" s="9"/>
      <c r="T17" s="9"/>
      <c r="U17" s="9"/>
      <c r="V17" s="9"/>
      <c r="W17" s="9"/>
      <c r="X17" s="9"/>
      <c r="Y17" s="9"/>
      <c r="Z17" s="9"/>
      <c r="AA17" s="9"/>
      <c r="AB17" s="9"/>
      <c r="AC17" s="9"/>
      <c r="AD17" s="9"/>
      <c r="AE17" s="9"/>
      <c r="AF17" s="9"/>
      <c r="AG17" s="9"/>
      <c r="AH17" s="9"/>
      <c r="AI17" s="9"/>
      <c r="AJ17" s="9"/>
    </row>
    <row r="18" spans="1:36">
      <c r="A18" s="396" t="s">
        <v>749</v>
      </c>
      <c r="B18" s="69"/>
      <c r="C18" s="34">
        <v>0.06</v>
      </c>
      <c r="D18" s="9"/>
      <c r="E18" s="9"/>
      <c r="F18" s="9"/>
      <c r="G18" s="9"/>
      <c r="H18" s="9"/>
      <c r="I18" s="9"/>
      <c r="J18" s="9"/>
      <c r="K18" s="9"/>
      <c r="L18" s="9"/>
      <c r="M18" s="9"/>
      <c r="N18" s="9"/>
      <c r="O18" s="9"/>
      <c r="P18" s="9"/>
      <c r="Q18" s="9"/>
      <c r="R18" s="9"/>
      <c r="S18" s="9"/>
      <c r="T18" s="9"/>
      <c r="U18" s="9"/>
      <c r="V18" s="9"/>
      <c r="W18" s="9"/>
      <c r="X18" s="9"/>
      <c r="Y18" s="9"/>
      <c r="Z18" s="9"/>
      <c r="AA18" s="9"/>
      <c r="AB18" s="9"/>
      <c r="AC18" s="9"/>
      <c r="AD18" s="9"/>
      <c r="AE18" s="9"/>
      <c r="AF18" s="9"/>
      <c r="AG18" s="9"/>
      <c r="AH18" s="9"/>
      <c r="AI18" s="9"/>
      <c r="AJ18" s="9"/>
    </row>
    <row r="19" spans="1:36">
      <c r="A19" s="396" t="s">
        <v>748</v>
      </c>
      <c r="B19" s="69"/>
      <c r="C19" s="34">
        <v>0.03</v>
      </c>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row>
    <row r="20" spans="1:36">
      <c r="A20" s="14"/>
      <c r="B20" s="9"/>
      <c r="C20" s="9"/>
      <c r="D20" s="9"/>
      <c r="E20" s="9"/>
      <c r="F20" s="9"/>
      <c r="G20" s="9"/>
      <c r="H20" s="9"/>
      <c r="I20" s="9"/>
      <c r="J20" s="9"/>
      <c r="K20" s="9"/>
      <c r="L20" s="9"/>
      <c r="M20" s="9"/>
      <c r="N20" s="9"/>
      <c r="O20" s="9"/>
      <c r="P20" s="9"/>
      <c r="Q20" s="9"/>
      <c r="R20" s="9"/>
      <c r="S20" s="9"/>
      <c r="T20" s="9"/>
      <c r="U20" s="9"/>
      <c r="V20" s="9"/>
      <c r="W20" s="9"/>
      <c r="X20" s="9"/>
      <c r="Y20" s="9"/>
      <c r="Z20" s="9"/>
      <c r="AA20" s="9"/>
      <c r="AB20" s="9"/>
      <c r="AC20" s="9"/>
      <c r="AD20" s="9"/>
      <c r="AE20" s="9"/>
      <c r="AF20" s="9"/>
      <c r="AG20" s="9"/>
      <c r="AH20" s="9"/>
      <c r="AI20" s="9"/>
      <c r="AJ20" s="9"/>
    </row>
    <row r="21" spans="1:36">
      <c r="A21" s="501" t="s">
        <v>741</v>
      </c>
      <c r="B21" s="19" t="s">
        <v>742</v>
      </c>
      <c r="C21" s="19" t="s">
        <v>324</v>
      </c>
      <c r="D21" s="9"/>
      <c r="E21" s="9"/>
      <c r="F21" s="9"/>
      <c r="G21" s="9"/>
      <c r="H21" s="9"/>
      <c r="I21" s="9"/>
      <c r="J21" s="9"/>
      <c r="K21" s="9"/>
      <c r="L21" s="9"/>
      <c r="M21" s="9"/>
      <c r="N21" s="9"/>
      <c r="O21" s="9"/>
      <c r="P21" s="9"/>
      <c r="Q21" s="9"/>
      <c r="R21" s="9"/>
      <c r="S21" s="9"/>
      <c r="T21" s="9"/>
      <c r="U21" s="9"/>
      <c r="V21" s="9"/>
      <c r="W21" s="9"/>
      <c r="X21" s="9"/>
      <c r="Y21" s="9"/>
      <c r="Z21" s="9"/>
      <c r="AA21" s="9"/>
      <c r="AB21" s="9"/>
      <c r="AC21" s="9"/>
      <c r="AD21" s="9"/>
      <c r="AE21" s="9"/>
      <c r="AF21" s="9"/>
      <c r="AG21" s="9"/>
      <c r="AH21" s="9"/>
      <c r="AI21" s="9"/>
      <c r="AJ21" s="9"/>
    </row>
    <row r="22" spans="1:36">
      <c r="A22" s="220" t="s">
        <v>635</v>
      </c>
      <c r="B22" s="67">
        <v>0.5</v>
      </c>
      <c r="C22" s="67">
        <v>0.7</v>
      </c>
      <c r="D22" s="9"/>
      <c r="E22" s="9"/>
      <c r="F22" s="9"/>
      <c r="G22" s="9"/>
      <c r="H22" s="9"/>
      <c r="I22" s="9"/>
      <c r="J22" s="9"/>
      <c r="K22" s="9"/>
      <c r="L22" s="9"/>
      <c r="M22" s="9"/>
      <c r="N22" s="9"/>
      <c r="O22" s="9"/>
      <c r="P22" s="9"/>
      <c r="Q22" s="9"/>
      <c r="R22" s="9"/>
      <c r="S22" s="9"/>
      <c r="T22" s="9"/>
      <c r="U22" s="9"/>
      <c r="V22" s="9"/>
      <c r="W22" s="9"/>
      <c r="X22" s="9"/>
      <c r="Y22" s="9"/>
      <c r="Z22" s="9"/>
      <c r="AA22" s="9"/>
      <c r="AB22" s="9"/>
      <c r="AC22" s="9"/>
      <c r="AD22" s="9"/>
      <c r="AE22" s="9"/>
      <c r="AF22" s="9"/>
      <c r="AG22" s="9"/>
      <c r="AH22" s="9"/>
      <c r="AI22" s="9"/>
      <c r="AJ22" s="9"/>
    </row>
    <row r="23" spans="1:36">
      <c r="A23" s="220" t="s">
        <v>329</v>
      </c>
      <c r="B23" s="37">
        <v>0.7</v>
      </c>
      <c r="C23" s="37">
        <v>0.9</v>
      </c>
      <c r="D23" s="9"/>
      <c r="E23" s="9"/>
      <c r="F23" s="9"/>
      <c r="G23" s="9"/>
      <c r="H23" s="9"/>
      <c r="I23" s="9"/>
      <c r="J23" s="9"/>
      <c r="K23" s="9"/>
      <c r="L23" s="9"/>
      <c r="M23" s="9"/>
      <c r="N23" s="9"/>
      <c r="O23" s="9"/>
      <c r="P23" s="9"/>
      <c r="Q23" s="9"/>
      <c r="R23" s="9"/>
      <c r="S23" s="9"/>
      <c r="T23" s="9"/>
      <c r="U23" s="9"/>
      <c r="V23" s="9"/>
      <c r="W23" s="9"/>
      <c r="X23" s="9"/>
      <c r="Y23" s="9"/>
      <c r="Z23" s="9"/>
      <c r="AA23" s="9"/>
      <c r="AB23" s="9"/>
      <c r="AC23" s="9"/>
      <c r="AD23" s="9"/>
      <c r="AE23" s="9"/>
      <c r="AF23" s="9"/>
      <c r="AG23" s="9"/>
      <c r="AH23" s="9"/>
      <c r="AI23" s="9"/>
      <c r="AJ23" s="9"/>
    </row>
    <row r="24" spans="1:36">
      <c r="A24" s="9"/>
      <c r="B24" s="9"/>
      <c r="C24" s="9"/>
      <c r="D24" s="9"/>
      <c r="E24" s="9"/>
      <c r="F24" s="9"/>
      <c r="G24" s="9"/>
      <c r="H24" s="9"/>
      <c r="I24" s="9"/>
      <c r="J24" s="9"/>
      <c r="K24" s="9"/>
      <c r="L24" s="9"/>
      <c r="M24" s="9"/>
      <c r="N24" s="9"/>
      <c r="O24" s="9"/>
      <c r="P24" s="9"/>
      <c r="Q24" s="9"/>
      <c r="R24" s="9"/>
      <c r="S24" s="9"/>
      <c r="T24" s="9"/>
      <c r="U24" s="9"/>
      <c r="V24" s="9"/>
      <c r="W24" s="9"/>
      <c r="X24" s="9"/>
      <c r="Y24" s="9"/>
      <c r="Z24" s="9"/>
      <c r="AA24" s="9"/>
      <c r="AB24" s="9"/>
      <c r="AC24" s="9"/>
      <c r="AD24" s="9"/>
      <c r="AE24" s="9"/>
      <c r="AF24" s="9"/>
      <c r="AG24" s="9"/>
      <c r="AH24" s="9"/>
      <c r="AI24" s="9"/>
      <c r="AJ24" s="9"/>
    </row>
    <row r="25" spans="1:36">
      <c r="A25" s="319" t="s">
        <v>438</v>
      </c>
      <c r="B25" s="14"/>
      <c r="C25" s="14"/>
      <c r="D25" s="14"/>
      <c r="E25" s="14"/>
      <c r="F25" s="14"/>
      <c r="G25" s="14"/>
      <c r="H25" s="9"/>
      <c r="I25" s="9"/>
      <c r="J25" s="9"/>
      <c r="K25" s="9"/>
      <c r="L25" s="9"/>
      <c r="M25" s="9"/>
      <c r="N25" s="9"/>
      <c r="O25" s="9"/>
      <c r="P25" s="9"/>
      <c r="Q25" s="9"/>
      <c r="R25" s="9"/>
      <c r="S25" s="9"/>
      <c r="T25" s="9"/>
      <c r="U25" s="9"/>
      <c r="V25" s="9"/>
      <c r="W25" s="9"/>
      <c r="X25" s="9"/>
      <c r="Y25" s="9"/>
      <c r="Z25" s="9"/>
      <c r="AA25" s="9"/>
      <c r="AB25" s="9"/>
      <c r="AC25" s="9"/>
      <c r="AD25" s="9"/>
      <c r="AE25" s="9"/>
      <c r="AF25" s="9"/>
      <c r="AG25" s="9"/>
      <c r="AH25" s="9"/>
      <c r="AI25" s="9"/>
      <c r="AJ25" s="9"/>
    </row>
    <row r="26" spans="1:36">
      <c r="A26" s="14" t="s">
        <v>661</v>
      </c>
      <c r="B26" s="14"/>
      <c r="C26" s="14"/>
      <c r="D26" s="14"/>
      <c r="E26" s="14"/>
      <c r="F26" s="14" t="s">
        <v>738</v>
      </c>
      <c r="G26" s="14"/>
      <c r="H26" s="9"/>
      <c r="I26" s="9"/>
      <c r="J26" s="9"/>
      <c r="K26" s="9"/>
      <c r="L26" s="9"/>
      <c r="M26" s="9"/>
      <c r="N26" s="9"/>
      <c r="O26" s="9"/>
      <c r="P26" s="9"/>
      <c r="Q26" s="9"/>
      <c r="R26" s="9"/>
      <c r="S26" s="9"/>
      <c r="T26" s="9"/>
      <c r="U26" s="9"/>
      <c r="V26" s="9"/>
      <c r="W26" s="9"/>
      <c r="X26" s="9"/>
      <c r="Y26" s="9"/>
      <c r="Z26" s="9"/>
      <c r="AA26" s="9"/>
      <c r="AB26" s="9"/>
      <c r="AC26" s="9"/>
      <c r="AD26" s="9"/>
      <c r="AE26" s="9"/>
      <c r="AF26" s="9"/>
      <c r="AG26" s="9"/>
      <c r="AH26" s="9"/>
      <c r="AI26" s="9"/>
      <c r="AJ26" s="9"/>
    </row>
    <row r="27" spans="1:36">
      <c r="A27" s="217" t="s">
        <v>110</v>
      </c>
      <c r="B27" s="217" t="s">
        <v>439</v>
      </c>
      <c r="C27" s="14"/>
      <c r="D27" s="14"/>
      <c r="E27" s="14"/>
      <c r="F27" s="217" t="s">
        <v>110</v>
      </c>
      <c r="G27" s="217" t="s">
        <v>643</v>
      </c>
      <c r="H27" s="9"/>
      <c r="I27" s="9"/>
      <c r="J27" s="9"/>
      <c r="K27" s="9"/>
      <c r="L27" s="9"/>
      <c r="M27" s="9"/>
      <c r="N27" s="9"/>
      <c r="O27" s="9"/>
      <c r="P27" s="9"/>
      <c r="Q27" s="9"/>
      <c r="R27" s="9"/>
      <c r="S27" s="9"/>
      <c r="T27" s="9"/>
      <c r="U27" s="9"/>
      <c r="V27" s="9"/>
      <c r="W27" s="9"/>
      <c r="X27" s="9"/>
      <c r="Y27" s="9"/>
      <c r="Z27" s="9"/>
      <c r="AA27" s="9"/>
      <c r="AB27" s="9"/>
      <c r="AC27" s="9"/>
      <c r="AD27" s="9"/>
      <c r="AE27" s="9"/>
      <c r="AF27" s="9"/>
      <c r="AG27" s="9"/>
      <c r="AH27" s="9"/>
      <c r="AI27" s="9"/>
      <c r="AJ27" s="9"/>
    </row>
    <row r="28" spans="1:36">
      <c r="A28" s="7">
        <v>0</v>
      </c>
      <c r="B28" s="7">
        <v>100</v>
      </c>
      <c r="C28" s="9"/>
      <c r="D28" s="9"/>
      <c r="E28" s="9"/>
      <c r="F28" s="7">
        <v>0</v>
      </c>
      <c r="G28" s="7">
        <v>10</v>
      </c>
      <c r="H28" s="9"/>
      <c r="I28" s="9"/>
      <c r="J28" s="9"/>
      <c r="K28" s="9"/>
      <c r="L28" s="9"/>
      <c r="M28" s="9"/>
      <c r="N28" s="9"/>
      <c r="O28" s="9"/>
      <c r="P28" s="9"/>
      <c r="Q28" s="9"/>
      <c r="R28" s="9"/>
      <c r="S28" s="9"/>
      <c r="T28" s="9"/>
      <c r="U28" s="9"/>
      <c r="V28" s="9"/>
      <c r="W28" s="9"/>
      <c r="X28" s="9"/>
      <c r="Y28" s="9"/>
      <c r="Z28" s="9"/>
      <c r="AA28" s="9"/>
      <c r="AB28" s="9"/>
      <c r="AC28" s="9"/>
      <c r="AD28" s="9"/>
      <c r="AE28" s="9"/>
      <c r="AF28" s="9"/>
      <c r="AG28" s="9"/>
      <c r="AH28" s="9"/>
      <c r="AI28" s="9"/>
      <c r="AJ28" s="9"/>
    </row>
    <row r="29" spans="1:36">
      <c r="A29" s="7">
        <v>250</v>
      </c>
      <c r="B29" s="7">
        <v>120</v>
      </c>
      <c r="C29" s="9"/>
      <c r="D29" s="9"/>
      <c r="E29" s="9"/>
      <c r="F29" s="7">
        <v>100</v>
      </c>
      <c r="G29" s="7">
        <v>12</v>
      </c>
      <c r="H29" s="9"/>
      <c r="I29" s="9"/>
      <c r="J29" s="9"/>
      <c r="K29" s="9"/>
      <c r="L29" s="9"/>
      <c r="M29" s="9"/>
      <c r="N29" s="9"/>
      <c r="O29" s="9"/>
      <c r="P29" s="9"/>
      <c r="Q29" s="9"/>
      <c r="R29" s="9"/>
      <c r="S29" s="9"/>
      <c r="T29" s="9"/>
      <c r="U29" s="9"/>
      <c r="V29" s="9"/>
      <c r="W29" s="9"/>
      <c r="X29" s="9"/>
      <c r="Y29" s="9"/>
      <c r="Z29" s="9"/>
      <c r="AA29" s="9"/>
      <c r="AB29" s="9"/>
      <c r="AC29" s="9"/>
      <c r="AD29" s="9"/>
      <c r="AE29" s="9"/>
      <c r="AF29" s="9"/>
      <c r="AG29" s="9"/>
      <c r="AH29" s="9"/>
      <c r="AI29" s="9"/>
      <c r="AJ29" s="9"/>
    </row>
    <row r="30" spans="1:36">
      <c r="A30" s="7">
        <v>500</v>
      </c>
      <c r="B30" s="7">
        <v>130</v>
      </c>
      <c r="C30" s="9"/>
      <c r="D30" s="9"/>
      <c r="E30" s="9"/>
      <c r="F30" s="7">
        <v>200</v>
      </c>
      <c r="G30" s="7">
        <v>14.3</v>
      </c>
      <c r="H30" s="9"/>
      <c r="I30" s="9"/>
      <c r="J30" s="9"/>
      <c r="K30" s="9"/>
      <c r="L30" s="9"/>
      <c r="M30" s="9"/>
      <c r="N30" s="9"/>
      <c r="O30" s="9"/>
      <c r="P30" s="9"/>
      <c r="Q30" s="9"/>
      <c r="R30" s="9"/>
      <c r="S30" s="9"/>
      <c r="T30" s="9"/>
      <c r="U30" s="9"/>
      <c r="V30" s="9"/>
      <c r="W30" s="9"/>
      <c r="X30" s="9"/>
      <c r="Y30" s="9"/>
      <c r="Z30" s="9"/>
      <c r="AA30" s="9"/>
      <c r="AB30" s="9"/>
      <c r="AC30" s="9"/>
      <c r="AD30" s="9"/>
      <c r="AE30" s="9"/>
      <c r="AF30" s="9"/>
      <c r="AG30" s="9"/>
      <c r="AH30" s="9"/>
      <c r="AI30" s="9"/>
      <c r="AJ30" s="9"/>
    </row>
    <row r="31" spans="1:36">
      <c r="A31" s="7">
        <v>1000</v>
      </c>
      <c r="B31" s="7">
        <v>150</v>
      </c>
      <c r="C31" s="9"/>
      <c r="D31" s="9"/>
      <c r="E31" s="9"/>
      <c r="F31" s="7">
        <v>500</v>
      </c>
      <c r="G31" s="7">
        <v>15</v>
      </c>
      <c r="H31" s="9"/>
      <c r="I31" s="9"/>
      <c r="J31" s="9"/>
      <c r="K31" s="9"/>
      <c r="L31" s="9"/>
      <c r="M31" s="9"/>
      <c r="N31" s="9"/>
      <c r="O31" s="9"/>
      <c r="P31" s="9"/>
      <c r="Q31" s="9"/>
      <c r="R31" s="9"/>
      <c r="S31" s="9"/>
      <c r="T31" s="9"/>
      <c r="U31" s="9"/>
      <c r="V31" s="9"/>
      <c r="W31" s="9"/>
      <c r="X31" s="9"/>
      <c r="Y31" s="9"/>
      <c r="Z31" s="9"/>
      <c r="AA31" s="9"/>
      <c r="AB31" s="9"/>
      <c r="AC31" s="9"/>
      <c r="AD31" s="9"/>
      <c r="AE31" s="9"/>
      <c r="AF31" s="9"/>
      <c r="AG31" s="9"/>
      <c r="AH31" s="9"/>
      <c r="AI31" s="9"/>
      <c r="AJ31" s="9"/>
    </row>
    <row r="32" spans="1:36">
      <c r="A32" s="7">
        <v>2000</v>
      </c>
      <c r="B32" s="7">
        <v>180</v>
      </c>
      <c r="C32" s="9"/>
      <c r="D32" s="9"/>
      <c r="E32" s="9"/>
      <c r="F32" s="7">
        <v>700</v>
      </c>
      <c r="G32" s="7">
        <v>15</v>
      </c>
      <c r="H32" s="9"/>
      <c r="I32" s="9"/>
      <c r="J32" s="9"/>
      <c r="K32" s="9"/>
      <c r="L32" s="9"/>
      <c r="M32" s="9"/>
      <c r="N32" s="9"/>
      <c r="O32" s="9"/>
      <c r="P32" s="9"/>
      <c r="Q32" s="9"/>
      <c r="R32" s="9"/>
      <c r="S32" s="9"/>
      <c r="T32" s="9"/>
      <c r="U32" s="9"/>
      <c r="V32" s="9"/>
      <c r="W32" s="9"/>
      <c r="X32" s="9"/>
      <c r="Y32" s="9"/>
      <c r="Z32" s="9"/>
      <c r="AA32" s="9"/>
      <c r="AB32" s="9"/>
      <c r="AC32" s="9"/>
      <c r="AD32" s="9"/>
      <c r="AE32" s="9"/>
      <c r="AF32" s="9"/>
      <c r="AG32" s="9"/>
      <c r="AH32" s="9"/>
      <c r="AI32" s="9"/>
      <c r="AJ32" s="9"/>
    </row>
    <row r="33" spans="1:36">
      <c r="A33" s="7">
        <v>4000</v>
      </c>
      <c r="B33" s="7">
        <v>210</v>
      </c>
      <c r="C33" s="9"/>
      <c r="D33" s="9"/>
      <c r="E33" s="9"/>
      <c r="F33" s="7">
        <v>900</v>
      </c>
      <c r="G33" s="7">
        <v>15</v>
      </c>
      <c r="H33" s="9"/>
      <c r="I33" s="9"/>
      <c r="J33" s="9"/>
      <c r="K33" s="9"/>
      <c r="L33" s="9"/>
      <c r="M33" s="9"/>
      <c r="N33" s="9"/>
      <c r="O33" s="9"/>
      <c r="P33" s="9"/>
      <c r="Q33" s="9"/>
      <c r="R33" s="9"/>
      <c r="S33" s="9"/>
      <c r="T33" s="9"/>
      <c r="U33" s="9"/>
      <c r="V33" s="9"/>
      <c r="W33" s="9"/>
      <c r="X33" s="9"/>
      <c r="Y33" s="9"/>
      <c r="Z33" s="9"/>
      <c r="AA33" s="9"/>
      <c r="AB33" s="9"/>
      <c r="AC33" s="9"/>
      <c r="AD33" s="9"/>
      <c r="AE33" s="9"/>
      <c r="AF33" s="9"/>
      <c r="AG33" s="9"/>
      <c r="AH33" s="9"/>
      <c r="AI33" s="9"/>
      <c r="AJ33" s="9"/>
    </row>
    <row r="34" spans="1:36">
      <c r="A34" s="7">
        <v>1000000</v>
      </c>
      <c r="B34" s="7">
        <f>B33</f>
        <v>210</v>
      </c>
      <c r="C34" s="9"/>
      <c r="D34" s="9"/>
      <c r="E34" s="9"/>
      <c r="F34" s="7">
        <v>1000000000</v>
      </c>
      <c r="G34" s="7">
        <v>15</v>
      </c>
      <c r="H34" s="9"/>
      <c r="I34" s="9"/>
      <c r="J34" s="9"/>
      <c r="K34" s="9"/>
      <c r="L34" s="9"/>
      <c r="M34" s="9"/>
      <c r="N34" s="9"/>
      <c r="O34" s="9"/>
      <c r="P34" s="9"/>
      <c r="Q34" s="9"/>
      <c r="R34" s="9"/>
      <c r="S34" s="9"/>
      <c r="T34" s="9"/>
      <c r="U34" s="9"/>
      <c r="V34" s="9"/>
      <c r="W34" s="9"/>
      <c r="X34" s="9"/>
      <c r="Y34" s="9"/>
      <c r="Z34" s="9"/>
      <c r="AA34" s="9"/>
      <c r="AB34" s="9"/>
      <c r="AC34" s="9"/>
      <c r="AD34" s="9"/>
      <c r="AE34" s="9"/>
      <c r="AF34" s="9"/>
      <c r="AG34" s="9"/>
      <c r="AH34" s="9"/>
      <c r="AI34" s="9"/>
      <c r="AJ34" s="9"/>
    </row>
    <row r="35" spans="1:36">
      <c r="A35" s="9"/>
      <c r="B35" s="9"/>
      <c r="C35" s="9"/>
      <c r="D35" s="9"/>
      <c r="E35" s="9"/>
      <c r="F35" s="9"/>
      <c r="G35" s="9"/>
      <c r="H35" s="9"/>
      <c r="I35" s="9"/>
      <c r="J35" s="9"/>
      <c r="K35" s="9"/>
      <c r="L35" s="9"/>
      <c r="M35" s="9"/>
      <c r="N35" s="9"/>
      <c r="O35" s="9"/>
      <c r="P35" s="9"/>
      <c r="Q35" s="9"/>
      <c r="R35" s="9"/>
      <c r="S35" s="9"/>
      <c r="T35" s="9"/>
      <c r="U35" s="9"/>
      <c r="V35" s="9"/>
      <c r="W35" s="9"/>
      <c r="X35" s="9"/>
      <c r="Y35" s="9"/>
      <c r="Z35" s="9"/>
      <c r="AA35" s="9"/>
      <c r="AB35" s="9"/>
      <c r="AC35" s="9"/>
      <c r="AD35" s="9"/>
      <c r="AE35" s="9"/>
      <c r="AF35" s="9"/>
      <c r="AG35" s="9"/>
      <c r="AH35" s="9"/>
      <c r="AI35" s="9"/>
      <c r="AJ35" s="9"/>
    </row>
    <row r="36" spans="1:36">
      <c r="A36" s="14" t="s">
        <v>682</v>
      </c>
      <c r="B36" s="14"/>
      <c r="C36" s="9"/>
      <c r="D36" s="9"/>
      <c r="E36" s="9"/>
      <c r="F36" s="9"/>
      <c r="G36" s="9"/>
      <c r="H36" s="9"/>
      <c r="I36" s="9"/>
      <c r="J36" s="9"/>
      <c r="K36" s="9"/>
      <c r="L36" s="9"/>
      <c r="M36" s="9"/>
      <c r="N36" s="9"/>
      <c r="O36" s="9"/>
      <c r="P36" s="9"/>
      <c r="Q36" s="9"/>
      <c r="R36" s="9"/>
      <c r="S36" s="9"/>
      <c r="T36" s="9"/>
      <c r="U36" s="9"/>
      <c r="V36" s="9"/>
      <c r="W36" s="9"/>
      <c r="X36" s="9"/>
      <c r="Y36" s="9"/>
      <c r="Z36" s="9"/>
      <c r="AA36" s="9"/>
      <c r="AB36" s="9"/>
      <c r="AC36" s="9"/>
      <c r="AD36" s="9"/>
      <c r="AE36" s="9"/>
      <c r="AF36" s="9"/>
      <c r="AG36" s="9"/>
      <c r="AH36" s="9"/>
      <c r="AI36" s="9"/>
      <c r="AJ36" s="9"/>
    </row>
    <row r="37" spans="1:36">
      <c r="A37" s="217" t="s">
        <v>162</v>
      </c>
      <c r="B37" s="217" t="s">
        <v>447</v>
      </c>
      <c r="C37" s="9"/>
      <c r="D37" s="9"/>
      <c r="E37" s="9"/>
      <c r="F37" s="9"/>
      <c r="G37" s="9"/>
      <c r="H37" s="9"/>
      <c r="I37" s="9"/>
      <c r="J37" s="9"/>
      <c r="K37" s="9"/>
      <c r="L37" s="9"/>
      <c r="M37" s="9"/>
      <c r="N37" s="9"/>
      <c r="O37" s="9"/>
      <c r="P37" s="9"/>
      <c r="Q37" s="9"/>
      <c r="R37" s="9"/>
      <c r="S37" s="9"/>
      <c r="T37" s="9"/>
      <c r="U37" s="9"/>
      <c r="V37" s="9"/>
      <c r="W37" s="9"/>
      <c r="X37" s="9"/>
      <c r="Y37" s="9"/>
      <c r="Z37" s="9"/>
      <c r="AA37" s="9"/>
      <c r="AB37" s="9"/>
      <c r="AC37" s="9"/>
      <c r="AD37" s="9"/>
      <c r="AE37" s="9"/>
      <c r="AF37" s="9"/>
      <c r="AG37" s="9"/>
      <c r="AH37" s="9"/>
      <c r="AI37" s="9"/>
      <c r="AJ37" s="9"/>
    </row>
    <row r="38" spans="1:36">
      <c r="A38" s="7">
        <v>1</v>
      </c>
      <c r="B38" s="7">
        <v>1</v>
      </c>
      <c r="C38" s="9"/>
      <c r="D38" s="9"/>
      <c r="E38" s="9"/>
      <c r="F38" s="9"/>
      <c r="G38" s="9"/>
      <c r="H38" s="9"/>
      <c r="I38" s="9"/>
      <c r="J38" s="9"/>
      <c r="K38" s="9"/>
      <c r="L38" s="9"/>
      <c r="M38" s="9"/>
      <c r="N38" s="9"/>
      <c r="O38" s="9"/>
      <c r="P38" s="9"/>
      <c r="Q38" s="9"/>
      <c r="R38" s="9"/>
      <c r="S38" s="9"/>
      <c r="T38" s="9"/>
      <c r="U38" s="9"/>
      <c r="V38" s="9"/>
      <c r="W38" s="9"/>
      <c r="X38" s="9"/>
      <c r="Y38" s="9"/>
      <c r="Z38" s="9"/>
      <c r="AA38" s="9"/>
      <c r="AB38" s="9"/>
      <c r="AC38" s="9"/>
      <c r="AD38" s="9"/>
      <c r="AE38" s="9"/>
      <c r="AF38" s="9"/>
      <c r="AG38" s="9"/>
      <c r="AH38" s="9"/>
      <c r="AI38" s="9"/>
      <c r="AJ38" s="9"/>
    </row>
    <row r="39" spans="1:36">
      <c r="A39" s="7">
        <v>8</v>
      </c>
      <c r="B39" s="7">
        <v>2</v>
      </c>
      <c r="C39" s="9"/>
      <c r="D39" s="9"/>
      <c r="E39" s="9"/>
      <c r="F39" s="9"/>
      <c r="G39" s="9"/>
      <c r="H39" s="9"/>
      <c r="I39" s="9"/>
      <c r="J39" s="9"/>
      <c r="K39" s="9"/>
      <c r="L39" s="9"/>
      <c r="M39" s="9"/>
      <c r="N39" s="9"/>
      <c r="O39" s="9"/>
      <c r="P39" s="9"/>
      <c r="Q39" s="9"/>
      <c r="R39" s="9"/>
      <c r="S39" s="9"/>
      <c r="T39" s="9"/>
      <c r="U39" s="9"/>
      <c r="V39" s="9"/>
      <c r="W39" s="9"/>
      <c r="X39" s="9"/>
      <c r="Y39" s="9"/>
      <c r="Z39" s="9"/>
      <c r="AA39" s="9"/>
      <c r="AB39" s="9"/>
      <c r="AC39" s="9"/>
      <c r="AD39" s="9"/>
      <c r="AE39" s="9"/>
      <c r="AF39" s="9"/>
      <c r="AG39" s="9"/>
      <c r="AH39" s="9"/>
      <c r="AI39" s="9"/>
      <c r="AJ39" s="9"/>
    </row>
    <row r="40" spans="1:36">
      <c r="A40" s="7">
        <v>20</v>
      </c>
      <c r="B40" s="7">
        <v>3</v>
      </c>
      <c r="C40" s="9"/>
      <c r="D40" s="9"/>
      <c r="E40" s="9"/>
      <c r="F40" s="9"/>
      <c r="G40" s="9"/>
      <c r="H40" s="9"/>
      <c r="I40" s="9"/>
      <c r="J40" s="9"/>
      <c r="K40" s="9"/>
      <c r="L40" s="9"/>
      <c r="M40" s="9"/>
      <c r="N40" s="9"/>
      <c r="O40" s="9"/>
      <c r="P40" s="9"/>
      <c r="Q40" s="9"/>
      <c r="R40" s="9"/>
      <c r="S40" s="9"/>
      <c r="T40" s="9"/>
      <c r="U40" s="9"/>
      <c r="V40" s="9"/>
      <c r="W40" s="9"/>
      <c r="X40" s="9"/>
      <c r="Y40" s="9"/>
      <c r="Z40" s="9"/>
      <c r="AA40" s="9"/>
      <c r="AB40" s="9"/>
      <c r="AC40" s="9"/>
      <c r="AD40" s="9"/>
      <c r="AE40" s="9"/>
      <c r="AF40" s="9"/>
      <c r="AG40" s="9"/>
      <c r="AH40" s="9"/>
      <c r="AI40" s="9"/>
      <c r="AJ40" s="9"/>
    </row>
    <row r="41" spans="1:36">
      <c r="A41" s="7">
        <v>30</v>
      </c>
      <c r="B41" s="7">
        <v>4</v>
      </c>
      <c r="C41" s="9"/>
      <c r="D41" s="9"/>
      <c r="E41" s="9"/>
      <c r="F41" s="9"/>
      <c r="G41" s="9"/>
      <c r="H41" s="9"/>
      <c r="I41" s="9"/>
      <c r="J41" s="9"/>
      <c r="K41" s="9"/>
      <c r="L41" s="9"/>
      <c r="M41" s="9"/>
      <c r="N41" s="9"/>
      <c r="O41" s="9"/>
      <c r="P41" s="9"/>
      <c r="Q41" s="9"/>
      <c r="R41" s="9"/>
      <c r="S41" s="9"/>
      <c r="T41" s="9"/>
      <c r="U41" s="9"/>
      <c r="V41" s="9"/>
      <c r="W41" s="9"/>
      <c r="X41" s="9"/>
      <c r="Y41" s="9"/>
      <c r="Z41" s="9"/>
      <c r="AA41" s="9"/>
      <c r="AB41" s="9"/>
      <c r="AC41" s="9"/>
      <c r="AD41" s="9"/>
      <c r="AE41" s="9"/>
      <c r="AF41" s="9"/>
      <c r="AG41" s="9"/>
      <c r="AH41" s="9"/>
      <c r="AI41" s="9"/>
      <c r="AJ41" s="9"/>
    </row>
    <row r="42" spans="1:36">
      <c r="A42" s="7">
        <v>40</v>
      </c>
      <c r="B42" s="7">
        <v>5</v>
      </c>
      <c r="C42" s="9"/>
      <c r="D42" s="9"/>
      <c r="E42" s="9"/>
      <c r="F42" s="9"/>
      <c r="G42" s="9"/>
      <c r="H42" s="9"/>
      <c r="I42" s="9"/>
      <c r="J42" s="9"/>
      <c r="K42" s="9"/>
      <c r="L42" s="9"/>
      <c r="M42" s="9"/>
      <c r="N42" s="9"/>
      <c r="O42" s="9"/>
      <c r="P42" s="9"/>
      <c r="Q42" s="9"/>
      <c r="R42" s="9"/>
      <c r="S42" s="9"/>
      <c r="T42" s="9"/>
      <c r="U42" s="9"/>
      <c r="V42" s="9"/>
      <c r="W42" s="9"/>
      <c r="X42" s="9"/>
      <c r="Y42" s="9"/>
      <c r="Z42" s="9"/>
      <c r="AA42" s="9"/>
      <c r="AB42" s="9"/>
      <c r="AC42" s="9"/>
      <c r="AD42" s="9"/>
      <c r="AE42" s="9"/>
      <c r="AF42" s="9"/>
      <c r="AG42" s="9"/>
      <c r="AH42" s="9"/>
      <c r="AI42" s="9"/>
      <c r="AJ42" s="9"/>
    </row>
    <row r="43" spans="1:36">
      <c r="A43" s="7">
        <v>1000000</v>
      </c>
      <c r="B43" s="7">
        <v>5</v>
      </c>
      <c r="C43" s="9"/>
      <c r="D43" s="9"/>
      <c r="E43" s="9"/>
      <c r="F43" s="9"/>
      <c r="G43" s="9"/>
      <c r="H43" s="9"/>
      <c r="I43" s="9"/>
      <c r="J43" s="9"/>
      <c r="K43" s="9"/>
      <c r="L43" s="9"/>
      <c r="M43" s="9"/>
      <c r="N43" s="9"/>
      <c r="O43" s="9"/>
      <c r="P43" s="9"/>
      <c r="Q43" s="9"/>
      <c r="R43" s="9"/>
      <c r="S43" s="9"/>
      <c r="T43" s="9"/>
      <c r="U43" s="9"/>
      <c r="V43" s="9"/>
      <c r="W43" s="9"/>
      <c r="X43" s="9"/>
      <c r="Y43" s="9"/>
      <c r="Z43" s="9"/>
      <c r="AA43" s="9"/>
      <c r="AB43" s="9"/>
      <c r="AC43" s="9"/>
      <c r="AD43" s="9"/>
      <c r="AE43" s="9"/>
      <c r="AF43" s="9"/>
      <c r="AG43" s="9"/>
      <c r="AH43" s="9"/>
      <c r="AI43" s="9"/>
      <c r="AJ43" s="9"/>
    </row>
    <row r="44" spans="1:36">
      <c r="A44" s="9"/>
      <c r="B44" s="9"/>
      <c r="C44" s="9"/>
      <c r="D44" s="9"/>
      <c r="E44" s="9"/>
      <c r="F44" s="9"/>
      <c r="G44" s="9"/>
      <c r="H44" s="9"/>
      <c r="I44" s="9"/>
      <c r="J44" s="9"/>
      <c r="K44" s="9"/>
      <c r="L44" s="9"/>
      <c r="M44" s="9"/>
      <c r="N44" s="9"/>
      <c r="O44" s="9"/>
      <c r="P44" s="9"/>
      <c r="Q44" s="9"/>
      <c r="R44" s="9"/>
      <c r="S44" s="9"/>
      <c r="T44" s="9"/>
      <c r="U44" s="9"/>
      <c r="V44" s="9"/>
      <c r="W44" s="9"/>
      <c r="X44" s="9"/>
      <c r="Y44" s="9"/>
      <c r="Z44" s="9"/>
      <c r="AA44" s="9"/>
      <c r="AB44" s="9"/>
      <c r="AC44" s="9"/>
      <c r="AD44" s="9"/>
      <c r="AE44" s="9"/>
      <c r="AF44" s="9"/>
      <c r="AG44" s="9"/>
      <c r="AH44" s="9"/>
      <c r="AI44" s="9"/>
      <c r="AJ44" s="9"/>
    </row>
    <row r="45" spans="1:36">
      <c r="A45" s="319" t="s">
        <v>866</v>
      </c>
      <c r="B45" s="9"/>
      <c r="C45" s="9"/>
      <c r="D45" s="9"/>
      <c r="E45" s="9"/>
      <c r="F45" s="9"/>
      <c r="G45" s="9"/>
      <c r="H45" s="9"/>
      <c r="I45" s="9"/>
      <c r="J45" s="9"/>
      <c r="K45" s="9"/>
      <c r="L45" s="9"/>
      <c r="M45" s="9"/>
      <c r="N45" s="9"/>
      <c r="O45" s="9"/>
      <c r="P45" s="9"/>
      <c r="Q45" s="9"/>
      <c r="R45" s="9"/>
      <c r="S45" s="9"/>
      <c r="T45" s="9"/>
      <c r="U45" s="9"/>
      <c r="V45" s="9"/>
      <c r="W45" s="9"/>
      <c r="X45" s="9"/>
      <c r="Y45" s="9"/>
      <c r="Z45" s="9"/>
      <c r="AA45" s="9"/>
      <c r="AB45" s="9"/>
      <c r="AC45" s="9"/>
      <c r="AD45" s="9"/>
      <c r="AE45" s="9"/>
      <c r="AF45" s="9"/>
      <c r="AG45" s="9"/>
      <c r="AH45" s="9"/>
      <c r="AI45" s="9"/>
      <c r="AJ45" s="9"/>
    </row>
    <row r="46" spans="1:36">
      <c r="A46" s="14"/>
      <c r="B46" s="9"/>
      <c r="C46" s="9"/>
      <c r="D46" s="9"/>
      <c r="E46" s="9"/>
      <c r="F46" s="9"/>
      <c r="G46" s="9"/>
      <c r="H46" s="9"/>
      <c r="I46" s="9"/>
      <c r="J46" s="9"/>
      <c r="K46" s="9"/>
      <c r="L46" s="9"/>
      <c r="M46" s="9"/>
      <c r="N46" s="9"/>
      <c r="O46" s="9"/>
      <c r="P46" s="9"/>
      <c r="Q46" s="9"/>
      <c r="R46" s="9"/>
      <c r="S46" s="9"/>
      <c r="T46" s="9"/>
      <c r="U46" s="9"/>
      <c r="V46" s="9"/>
      <c r="W46" s="9"/>
      <c r="X46" s="9"/>
      <c r="Y46" s="9"/>
      <c r="Z46" s="9"/>
      <c r="AA46" s="9"/>
      <c r="AB46" s="9"/>
      <c r="AC46" s="9"/>
      <c r="AD46" s="9"/>
      <c r="AE46" s="9"/>
      <c r="AF46" s="9"/>
      <c r="AG46" s="9"/>
      <c r="AH46" s="9"/>
      <c r="AI46" s="9"/>
      <c r="AJ46" s="9"/>
    </row>
    <row r="47" spans="1:36">
      <c r="A47" s="220" t="s">
        <v>867</v>
      </c>
      <c r="B47" s="36" t="s">
        <v>441</v>
      </c>
      <c r="C47" s="9"/>
      <c r="D47" s="9"/>
      <c r="E47" s="9"/>
      <c r="F47" s="9"/>
      <c r="G47" s="9"/>
      <c r="H47" s="9"/>
      <c r="I47" s="9"/>
      <c r="J47" s="9"/>
      <c r="K47" s="9"/>
      <c r="L47" s="9"/>
      <c r="M47" s="9"/>
      <c r="N47" s="9"/>
      <c r="O47" s="9"/>
      <c r="P47" s="9"/>
      <c r="Q47" s="9"/>
      <c r="R47" s="9"/>
      <c r="S47" s="9"/>
      <c r="T47" s="9"/>
      <c r="U47" s="9"/>
      <c r="V47" s="9"/>
      <c r="W47" s="9"/>
      <c r="X47" s="9"/>
      <c r="Y47" s="9"/>
      <c r="Z47" s="9"/>
      <c r="AA47" s="9"/>
      <c r="AB47" s="9"/>
      <c r="AC47" s="9"/>
      <c r="AD47" s="9"/>
      <c r="AE47" s="9"/>
      <c r="AF47" s="9"/>
      <c r="AG47" s="9"/>
      <c r="AH47" s="9"/>
      <c r="AI47" s="9"/>
      <c r="AJ47" s="9"/>
    </row>
    <row r="48" spans="1:36">
      <c r="A48" s="220" t="s">
        <v>115</v>
      </c>
      <c r="B48" s="7">
        <v>1.1000000000000001</v>
      </c>
      <c r="C48" s="9"/>
      <c r="D48" s="9"/>
      <c r="E48" s="9"/>
      <c r="F48" s="9"/>
      <c r="G48" s="9"/>
      <c r="H48" s="9"/>
      <c r="I48" s="9"/>
      <c r="J48" s="9"/>
      <c r="K48" s="9"/>
      <c r="L48" s="9"/>
      <c r="M48" s="9"/>
      <c r="N48" s="9"/>
      <c r="O48" s="9"/>
      <c r="P48" s="9"/>
      <c r="Q48" s="9"/>
      <c r="R48" s="9"/>
      <c r="S48" s="9"/>
      <c r="T48" s="9"/>
      <c r="U48" s="9"/>
      <c r="V48" s="9"/>
      <c r="W48" s="9"/>
      <c r="X48" s="9"/>
      <c r="Y48" s="9"/>
      <c r="Z48" s="9"/>
      <c r="AA48" s="9"/>
      <c r="AB48" s="9"/>
      <c r="AC48" s="9"/>
      <c r="AD48" s="9"/>
      <c r="AE48" s="9"/>
      <c r="AF48" s="9"/>
      <c r="AG48" s="9"/>
      <c r="AH48" s="9"/>
      <c r="AI48" s="9"/>
      <c r="AJ48" s="9"/>
    </row>
    <row r="49" spans="1:36">
      <c r="A49" s="220" t="s">
        <v>92</v>
      </c>
      <c r="B49" s="7">
        <v>1.3</v>
      </c>
      <c r="C49" s="9"/>
      <c r="D49" s="9"/>
      <c r="E49" s="9"/>
      <c r="F49" s="9"/>
      <c r="G49" s="9"/>
      <c r="H49" s="9"/>
      <c r="I49" s="9"/>
      <c r="J49" s="9"/>
      <c r="K49" s="9"/>
      <c r="L49" s="9"/>
      <c r="M49" s="9"/>
      <c r="N49" s="9"/>
      <c r="O49" s="9"/>
      <c r="P49" s="9"/>
      <c r="Q49" s="9"/>
      <c r="R49" s="9"/>
      <c r="S49" s="9"/>
      <c r="T49" s="9"/>
      <c r="U49" s="9"/>
      <c r="V49" s="9"/>
      <c r="W49" s="9"/>
      <c r="X49" s="9"/>
      <c r="Y49" s="9"/>
      <c r="Z49" s="9"/>
      <c r="AA49" s="9"/>
      <c r="AB49" s="9"/>
      <c r="AC49" s="9"/>
      <c r="AD49" s="9"/>
      <c r="AE49" s="9"/>
      <c r="AF49" s="9"/>
      <c r="AG49" s="9"/>
      <c r="AH49" s="9"/>
      <c r="AI49" s="9"/>
      <c r="AJ49" s="9"/>
    </row>
    <row r="50" spans="1:36">
      <c r="A50" s="220" t="s">
        <v>116</v>
      </c>
      <c r="B50" s="7">
        <v>1.6</v>
      </c>
      <c r="C50" s="9"/>
      <c r="D50" s="9"/>
      <c r="E50" s="9"/>
      <c r="F50" s="9"/>
      <c r="G50" s="9"/>
      <c r="H50" s="9"/>
      <c r="I50" s="9"/>
      <c r="J50" s="9"/>
      <c r="K50" s="9"/>
      <c r="L50" s="9"/>
      <c r="M50" s="9"/>
      <c r="N50" s="9"/>
      <c r="O50" s="9"/>
      <c r="P50" s="9"/>
      <c r="Q50" s="9"/>
      <c r="R50" s="9"/>
      <c r="S50" s="9"/>
      <c r="T50" s="9"/>
      <c r="U50" s="9"/>
      <c r="V50" s="9"/>
      <c r="W50" s="9"/>
      <c r="X50" s="9"/>
      <c r="Y50" s="9"/>
      <c r="Z50" s="9"/>
      <c r="AA50" s="9"/>
      <c r="AB50" s="9"/>
      <c r="AC50" s="9"/>
      <c r="AD50" s="9"/>
      <c r="AE50" s="9"/>
      <c r="AF50" s="9"/>
      <c r="AG50" s="9"/>
      <c r="AH50" s="9"/>
      <c r="AI50" s="9"/>
      <c r="AJ50" s="9"/>
    </row>
    <row r="51" spans="1:36">
      <c r="A51" s="14"/>
      <c r="B51" s="9"/>
      <c r="C51" s="9"/>
      <c r="D51" s="9"/>
      <c r="E51" s="9"/>
      <c r="F51" s="9"/>
      <c r="G51" s="9"/>
      <c r="H51" s="9"/>
      <c r="I51" s="9"/>
      <c r="J51" s="9"/>
      <c r="K51" s="9"/>
      <c r="L51" s="9"/>
      <c r="M51" s="9"/>
      <c r="N51" s="9"/>
      <c r="O51" s="9"/>
      <c r="P51" s="9"/>
      <c r="Q51" s="9"/>
      <c r="R51" s="9"/>
      <c r="S51" s="9"/>
      <c r="T51" s="9"/>
      <c r="U51" s="9"/>
      <c r="V51" s="9"/>
      <c r="W51" s="9"/>
      <c r="X51" s="9"/>
      <c r="Y51" s="9"/>
      <c r="Z51" s="9"/>
      <c r="AA51" s="9"/>
      <c r="AB51" s="9"/>
      <c r="AC51" s="9"/>
      <c r="AD51" s="9"/>
      <c r="AE51" s="9"/>
      <c r="AF51" s="9"/>
      <c r="AG51" s="9"/>
      <c r="AH51" s="9"/>
      <c r="AI51" s="9"/>
      <c r="AJ51" s="9"/>
    </row>
    <row r="52" spans="1:36">
      <c r="A52" s="319" t="s">
        <v>442</v>
      </c>
      <c r="B52" s="9"/>
      <c r="C52" s="9"/>
      <c r="D52" s="9"/>
      <c r="E52" s="9"/>
      <c r="F52" s="9"/>
      <c r="G52" s="9"/>
      <c r="H52" s="9"/>
      <c r="I52" s="9"/>
      <c r="J52" s="9"/>
      <c r="K52" s="9"/>
      <c r="L52" s="9"/>
      <c r="M52" s="9"/>
      <c r="N52" s="9"/>
      <c r="O52" s="9"/>
      <c r="P52" s="9"/>
      <c r="Q52" s="9"/>
      <c r="R52" s="9"/>
      <c r="S52" s="9"/>
      <c r="T52" s="9"/>
      <c r="U52" s="9"/>
      <c r="V52" s="9"/>
      <c r="W52" s="9"/>
      <c r="X52" s="9"/>
      <c r="Y52" s="9"/>
      <c r="Z52" s="9"/>
      <c r="AA52" s="9"/>
      <c r="AB52" s="9"/>
      <c r="AC52" s="9"/>
      <c r="AD52" s="9"/>
      <c r="AE52" s="9"/>
      <c r="AF52" s="9"/>
      <c r="AG52" s="9"/>
      <c r="AH52" s="9"/>
      <c r="AI52" s="9"/>
      <c r="AJ52" s="9"/>
    </row>
    <row r="53" spans="1:36">
      <c r="A53" s="14"/>
      <c r="B53" s="9"/>
      <c r="C53" s="9"/>
      <c r="D53" s="9"/>
      <c r="E53" s="9"/>
      <c r="F53" s="9"/>
      <c r="G53" s="9"/>
      <c r="H53" s="9"/>
      <c r="I53" s="9"/>
      <c r="J53" s="9"/>
      <c r="K53" s="9"/>
      <c r="L53" s="9"/>
      <c r="M53" s="9"/>
      <c r="N53" s="9"/>
      <c r="O53" s="9"/>
      <c r="P53" s="9"/>
      <c r="Q53" s="9"/>
      <c r="R53" s="9"/>
      <c r="S53" s="9"/>
      <c r="T53" s="9"/>
      <c r="U53" s="9"/>
      <c r="V53" s="9"/>
      <c r="W53" s="9"/>
      <c r="X53" s="9"/>
      <c r="Y53" s="9"/>
      <c r="Z53" s="9"/>
      <c r="AA53" s="9"/>
      <c r="AB53" s="9"/>
      <c r="AC53" s="9"/>
      <c r="AD53" s="9"/>
      <c r="AE53" s="9"/>
      <c r="AF53" s="9"/>
      <c r="AG53" s="9"/>
      <c r="AH53" s="9"/>
      <c r="AI53" s="9"/>
      <c r="AJ53" s="9"/>
    </row>
    <row r="54" spans="1:36">
      <c r="A54" s="220" t="s">
        <v>91</v>
      </c>
      <c r="B54" s="22" t="s">
        <v>441</v>
      </c>
      <c r="C54" s="9"/>
      <c r="D54" s="9"/>
      <c r="E54" s="9"/>
      <c r="F54" s="9"/>
      <c r="G54" s="9"/>
      <c r="H54" s="9"/>
      <c r="I54" s="9"/>
      <c r="J54" s="9"/>
      <c r="K54" s="9"/>
      <c r="L54" s="9"/>
      <c r="M54" s="9"/>
      <c r="N54" s="9"/>
      <c r="O54" s="9"/>
      <c r="P54" s="9"/>
      <c r="Q54" s="9"/>
      <c r="R54" s="9"/>
      <c r="S54" s="9"/>
      <c r="T54" s="9"/>
      <c r="U54" s="9"/>
      <c r="V54" s="9"/>
      <c r="W54" s="9"/>
      <c r="X54" s="9"/>
      <c r="Y54" s="9"/>
      <c r="Z54" s="9"/>
      <c r="AA54" s="9"/>
      <c r="AB54" s="9"/>
      <c r="AC54" s="9"/>
      <c r="AD54" s="9"/>
      <c r="AE54" s="9"/>
      <c r="AF54" s="9"/>
      <c r="AG54" s="9"/>
      <c r="AH54" s="9"/>
      <c r="AI54" s="9"/>
      <c r="AJ54" s="9"/>
    </row>
    <row r="55" spans="1:36">
      <c r="A55" s="220" t="s">
        <v>115</v>
      </c>
      <c r="B55" s="7">
        <v>1</v>
      </c>
      <c r="C55" s="9"/>
      <c r="D55" s="9"/>
      <c r="E55" s="9"/>
      <c r="F55" s="9"/>
      <c r="G55" s="9"/>
      <c r="H55" s="9"/>
      <c r="I55" s="9"/>
      <c r="J55" s="9"/>
      <c r="K55" s="9"/>
      <c r="L55" s="9"/>
      <c r="M55" s="9"/>
      <c r="N55" s="9"/>
      <c r="O55" s="9"/>
      <c r="P55" s="9"/>
      <c r="Q55" s="9"/>
      <c r="R55" s="9"/>
      <c r="S55" s="9"/>
      <c r="T55" s="9"/>
      <c r="U55" s="9"/>
      <c r="V55" s="9"/>
      <c r="W55" s="9"/>
      <c r="X55" s="9"/>
      <c r="Y55" s="9"/>
      <c r="Z55" s="9"/>
      <c r="AA55" s="9"/>
      <c r="AB55" s="9"/>
      <c r="AC55" s="9"/>
      <c r="AD55" s="9"/>
      <c r="AE55" s="9"/>
      <c r="AF55" s="9"/>
      <c r="AG55" s="9"/>
      <c r="AH55" s="9"/>
      <c r="AI55" s="9"/>
      <c r="AJ55" s="9"/>
    </row>
    <row r="56" spans="1:36">
      <c r="A56" s="220" t="s">
        <v>92</v>
      </c>
      <c r="B56" s="7">
        <v>1.2</v>
      </c>
      <c r="C56" s="9"/>
      <c r="D56" s="9"/>
      <c r="E56" s="9"/>
      <c r="F56" s="9"/>
      <c r="G56" s="9"/>
      <c r="H56" s="9"/>
      <c r="I56" s="9"/>
      <c r="J56" s="9"/>
      <c r="K56" s="9"/>
      <c r="L56" s="9"/>
      <c r="M56" s="9"/>
      <c r="N56" s="9"/>
      <c r="O56" s="9"/>
      <c r="P56" s="9"/>
      <c r="Q56" s="9"/>
      <c r="R56" s="9"/>
      <c r="S56" s="9"/>
      <c r="T56" s="9"/>
      <c r="U56" s="9"/>
      <c r="V56" s="9"/>
      <c r="W56" s="9"/>
      <c r="X56" s="9"/>
      <c r="Y56" s="9"/>
      <c r="Z56" s="9"/>
      <c r="AA56" s="9"/>
      <c r="AB56" s="9"/>
      <c r="AC56" s="9"/>
      <c r="AD56" s="9"/>
      <c r="AE56" s="9"/>
      <c r="AF56" s="9"/>
      <c r="AG56" s="9"/>
      <c r="AH56" s="9"/>
      <c r="AI56" s="9"/>
      <c r="AJ56" s="9"/>
    </row>
    <row r="57" spans="1:36">
      <c r="A57" s="220" t="s">
        <v>116</v>
      </c>
      <c r="B57" s="7">
        <v>1.4</v>
      </c>
      <c r="C57" s="9"/>
      <c r="D57" s="9"/>
      <c r="E57" s="9"/>
      <c r="F57" s="9"/>
      <c r="G57" s="9"/>
      <c r="H57" s="9"/>
      <c r="I57" s="9"/>
      <c r="J57" s="9"/>
      <c r="K57" s="9"/>
      <c r="L57" s="9"/>
      <c r="M57" s="9"/>
      <c r="N57" s="9"/>
      <c r="O57" s="9"/>
      <c r="P57" s="9"/>
      <c r="Q57" s="9"/>
      <c r="R57" s="9"/>
      <c r="S57" s="9"/>
      <c r="T57" s="9"/>
      <c r="U57" s="9"/>
      <c r="V57" s="9"/>
      <c r="W57" s="9"/>
      <c r="X57" s="9"/>
      <c r="Y57" s="9"/>
      <c r="Z57" s="9"/>
      <c r="AA57" s="9"/>
      <c r="AB57" s="9"/>
      <c r="AC57" s="9"/>
      <c r="AD57" s="9"/>
      <c r="AE57" s="9"/>
      <c r="AF57" s="9"/>
      <c r="AG57" s="9"/>
      <c r="AH57" s="9"/>
      <c r="AI57" s="9"/>
      <c r="AJ57" s="9"/>
    </row>
    <row r="58" spans="1:36">
      <c r="A58" s="14"/>
      <c r="B58" s="9"/>
      <c r="C58" s="9"/>
      <c r="D58" s="9"/>
      <c r="E58" s="9"/>
      <c r="F58" s="9"/>
      <c r="G58" s="9"/>
      <c r="H58" s="9"/>
      <c r="I58" s="9"/>
      <c r="J58" s="9"/>
      <c r="K58" s="9"/>
      <c r="L58" s="9"/>
      <c r="M58" s="9"/>
      <c r="N58" s="9"/>
      <c r="O58" s="9"/>
      <c r="P58" s="9"/>
      <c r="Q58" s="9"/>
      <c r="R58" s="9"/>
      <c r="S58" s="9"/>
      <c r="T58" s="9"/>
      <c r="U58" s="9"/>
      <c r="V58" s="9"/>
      <c r="W58" s="9"/>
      <c r="X58" s="9"/>
      <c r="Y58" s="9"/>
      <c r="Z58" s="9"/>
      <c r="AA58" s="9"/>
      <c r="AB58" s="9"/>
      <c r="AC58" s="9"/>
      <c r="AD58" s="9"/>
      <c r="AE58" s="9"/>
      <c r="AF58" s="9"/>
      <c r="AG58" s="9"/>
      <c r="AH58" s="9"/>
      <c r="AI58" s="9"/>
      <c r="AJ58" s="9"/>
    </row>
    <row r="59" spans="1:36">
      <c r="A59" s="319" t="s">
        <v>767</v>
      </c>
      <c r="B59" s="9"/>
      <c r="C59" s="9"/>
      <c r="D59" s="9"/>
      <c r="E59" s="9"/>
      <c r="F59" s="9"/>
      <c r="G59" s="9"/>
      <c r="H59" s="9"/>
      <c r="I59" s="9"/>
      <c r="J59" s="9"/>
      <c r="K59" s="9"/>
      <c r="L59" s="9"/>
      <c r="M59" s="9"/>
      <c r="N59" s="9"/>
      <c r="O59" s="9"/>
      <c r="P59" s="9"/>
      <c r="Q59" s="9"/>
      <c r="R59" s="9"/>
      <c r="S59" s="9"/>
      <c r="T59" s="9"/>
      <c r="U59" s="9"/>
      <c r="V59" s="9"/>
      <c r="W59" s="9"/>
      <c r="X59" s="9"/>
      <c r="Y59" s="9"/>
      <c r="Z59" s="9"/>
      <c r="AA59" s="9"/>
      <c r="AB59" s="9"/>
      <c r="AC59" s="9"/>
      <c r="AD59" s="9"/>
      <c r="AE59" s="9"/>
      <c r="AF59" s="9"/>
      <c r="AG59" s="9"/>
      <c r="AH59" s="9"/>
      <c r="AI59" s="9"/>
      <c r="AJ59" s="9"/>
    </row>
    <row r="60" spans="1:36">
      <c r="A60" s="14"/>
      <c r="B60" s="9"/>
      <c r="C60" s="9"/>
      <c r="D60" s="9"/>
      <c r="E60" s="9"/>
      <c r="F60" s="9"/>
      <c r="G60" s="9"/>
      <c r="H60" s="9"/>
      <c r="I60" s="9"/>
      <c r="J60" s="9"/>
      <c r="K60" s="9"/>
      <c r="L60" s="9"/>
      <c r="M60" s="9"/>
      <c r="N60" s="9"/>
      <c r="O60" s="9"/>
      <c r="P60" s="9"/>
      <c r="Q60" s="9"/>
      <c r="R60" s="9"/>
      <c r="S60" s="9"/>
      <c r="T60" s="9"/>
      <c r="U60" s="9"/>
      <c r="V60" s="9"/>
      <c r="W60" s="9"/>
      <c r="X60" s="9"/>
      <c r="Y60" s="9"/>
      <c r="Z60" s="9"/>
      <c r="AA60" s="9"/>
      <c r="AB60" s="9"/>
      <c r="AC60" s="9"/>
      <c r="AD60" s="9"/>
      <c r="AE60" s="9"/>
      <c r="AF60" s="9"/>
      <c r="AG60" s="9"/>
      <c r="AH60" s="9"/>
      <c r="AI60" s="9"/>
      <c r="AJ60" s="9"/>
    </row>
    <row r="61" spans="1:36">
      <c r="A61" s="220" t="s">
        <v>443</v>
      </c>
      <c r="B61" s="219" t="s">
        <v>441</v>
      </c>
      <c r="C61" s="14"/>
      <c r="D61" s="9"/>
      <c r="E61" s="9"/>
      <c r="F61" s="9"/>
      <c r="G61" s="9"/>
      <c r="H61" s="9"/>
      <c r="I61" s="9"/>
      <c r="J61" s="9"/>
      <c r="K61" s="9"/>
      <c r="L61" s="9"/>
      <c r="M61" s="9"/>
      <c r="N61" s="9"/>
      <c r="O61" s="9"/>
      <c r="P61" s="9"/>
      <c r="Q61" s="9"/>
      <c r="R61" s="9"/>
      <c r="S61" s="9"/>
      <c r="T61" s="9"/>
      <c r="U61" s="9"/>
      <c r="V61" s="9"/>
      <c r="W61" s="9"/>
      <c r="X61" s="9"/>
      <c r="Y61" s="9"/>
      <c r="Z61" s="9"/>
      <c r="AA61" s="9"/>
      <c r="AB61" s="9"/>
      <c r="AC61" s="9"/>
      <c r="AD61" s="9"/>
      <c r="AE61" s="9"/>
      <c r="AF61" s="9"/>
      <c r="AG61" s="9"/>
      <c r="AH61" s="9"/>
      <c r="AI61" s="9"/>
      <c r="AJ61" s="9"/>
    </row>
    <row r="62" spans="1:36">
      <c r="A62" s="220" t="s">
        <v>895</v>
      </c>
      <c r="B62" s="219" t="s">
        <v>896</v>
      </c>
      <c r="C62" s="217" t="s">
        <v>897</v>
      </c>
      <c r="D62" s="9"/>
      <c r="E62" s="9"/>
      <c r="F62" s="9"/>
      <c r="G62" s="9"/>
      <c r="H62" s="9"/>
      <c r="I62" s="9"/>
      <c r="J62" s="9"/>
      <c r="K62" s="9"/>
      <c r="L62" s="9"/>
      <c r="M62" s="9"/>
      <c r="N62" s="9"/>
      <c r="O62" s="9"/>
      <c r="P62" s="9"/>
      <c r="Q62" s="9"/>
      <c r="R62" s="9"/>
      <c r="S62" s="9"/>
      <c r="T62" s="9"/>
      <c r="U62" s="9"/>
      <c r="V62" s="9"/>
      <c r="W62" s="9"/>
      <c r="X62" s="9"/>
      <c r="Y62" s="9"/>
      <c r="Z62" s="9"/>
      <c r="AA62" s="9"/>
      <c r="AB62" s="9"/>
      <c r="AC62" s="9"/>
      <c r="AD62" s="9"/>
      <c r="AE62" s="9"/>
      <c r="AF62" s="9"/>
      <c r="AG62" s="9"/>
      <c r="AH62" s="9"/>
      <c r="AI62" s="9"/>
      <c r="AJ62" s="9"/>
    </row>
    <row r="63" spans="1:36">
      <c r="A63" s="220" t="str">
        <f>Lists!A88</f>
        <v>Normally Pressured</v>
      </c>
      <c r="B63" s="80">
        <v>1</v>
      </c>
      <c r="C63" s="80">
        <v>1</v>
      </c>
      <c r="D63" s="9"/>
      <c r="E63" s="9"/>
      <c r="F63" s="9"/>
      <c r="G63" s="9"/>
      <c r="H63" s="9"/>
      <c r="I63" s="9"/>
      <c r="J63" s="9"/>
      <c r="K63" s="9"/>
      <c r="L63" s="9"/>
      <c r="M63" s="9"/>
      <c r="N63" s="9"/>
      <c r="O63" s="9"/>
      <c r="P63" s="9"/>
      <c r="Q63" s="9"/>
      <c r="R63" s="9"/>
      <c r="S63" s="9"/>
      <c r="T63" s="9"/>
      <c r="U63" s="9"/>
      <c r="V63" s="9"/>
      <c r="W63" s="9"/>
      <c r="X63" s="9"/>
      <c r="Y63" s="9"/>
      <c r="Z63" s="9"/>
      <c r="AA63" s="9"/>
      <c r="AB63" s="9"/>
      <c r="AC63" s="9"/>
      <c r="AD63" s="9"/>
      <c r="AE63" s="9"/>
      <c r="AF63" s="9"/>
      <c r="AG63" s="9"/>
      <c r="AH63" s="9"/>
      <c r="AI63" s="9"/>
      <c r="AJ63" s="9"/>
    </row>
    <row r="64" spans="1:36">
      <c r="A64" s="220" t="str">
        <f>Lists!A89</f>
        <v>Overpressured</v>
      </c>
      <c r="B64" s="80">
        <v>1.2</v>
      </c>
      <c r="C64" s="80">
        <v>1.2</v>
      </c>
      <c r="D64" s="9"/>
      <c r="E64" s="9"/>
      <c r="F64" s="9"/>
      <c r="G64" s="9"/>
      <c r="H64" s="9"/>
      <c r="I64" s="9"/>
      <c r="J64" s="9"/>
      <c r="K64" s="9"/>
      <c r="L64" s="9"/>
      <c r="M64" s="9"/>
      <c r="N64" s="9"/>
      <c r="O64" s="9"/>
      <c r="P64" s="9"/>
      <c r="Q64" s="9"/>
      <c r="R64" s="9"/>
      <c r="S64" s="9"/>
      <c r="T64" s="9"/>
      <c r="U64" s="9"/>
      <c r="V64" s="9"/>
      <c r="W64" s="9"/>
      <c r="X64" s="9"/>
      <c r="Y64" s="9"/>
      <c r="Z64" s="9"/>
      <c r="AA64" s="9"/>
      <c r="AB64" s="9"/>
      <c r="AC64" s="9"/>
      <c r="AD64" s="9"/>
      <c r="AE64" s="9"/>
      <c r="AF64" s="9"/>
      <c r="AG64" s="9"/>
      <c r="AH64" s="9"/>
      <c r="AI64" s="9"/>
      <c r="AJ64" s="9"/>
    </row>
    <row r="65" spans="1:36">
      <c r="A65" s="220" t="str">
        <f>Lists!A90</f>
        <v>Severely Overpressured</v>
      </c>
      <c r="B65" s="80">
        <v>1.5</v>
      </c>
      <c r="C65" s="80">
        <v>1.5</v>
      </c>
      <c r="D65" s="9"/>
      <c r="E65" s="9"/>
      <c r="F65" s="9"/>
      <c r="G65" s="9"/>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row>
    <row r="66" spans="1:36">
      <c r="A66" s="14"/>
      <c r="B66" s="9"/>
      <c r="C66" s="9"/>
      <c r="D66" s="9"/>
      <c r="E66" s="9"/>
      <c r="F66" s="9"/>
      <c r="G66" s="9"/>
      <c r="H66" s="9"/>
      <c r="I66" s="9"/>
      <c r="J66" s="9"/>
      <c r="K66" s="9"/>
      <c r="L66" s="9"/>
      <c r="M66" s="9"/>
      <c r="N66" s="9"/>
      <c r="O66" s="9"/>
      <c r="P66" s="9"/>
      <c r="Q66" s="9"/>
      <c r="R66" s="9"/>
      <c r="S66" s="9"/>
      <c r="T66" s="9"/>
      <c r="U66" s="9"/>
      <c r="V66" s="9"/>
      <c r="W66" s="9"/>
      <c r="X66" s="9"/>
      <c r="Y66" s="9"/>
      <c r="Z66" s="9"/>
      <c r="AA66" s="9"/>
      <c r="AB66" s="9"/>
      <c r="AC66" s="9"/>
      <c r="AD66" s="9"/>
      <c r="AE66" s="9"/>
      <c r="AF66" s="9"/>
      <c r="AG66" s="9"/>
      <c r="AH66" s="9"/>
      <c r="AI66" s="9"/>
      <c r="AJ66" s="9"/>
    </row>
    <row r="67" spans="1:36">
      <c r="A67" s="319" t="s">
        <v>444</v>
      </c>
      <c r="B67" s="9"/>
      <c r="C67" s="9"/>
      <c r="D67" s="9"/>
      <c r="E67" s="9"/>
      <c r="F67" s="9"/>
      <c r="G67" s="9"/>
      <c r="H67" s="9"/>
      <c r="I67" s="9"/>
      <c r="J67" s="9"/>
      <c r="K67" s="9"/>
      <c r="L67" s="9"/>
      <c r="M67" s="9"/>
      <c r="N67" s="9"/>
      <c r="O67" s="9"/>
      <c r="P67" s="9"/>
      <c r="Q67" s="9"/>
      <c r="R67" s="9"/>
      <c r="S67" s="9"/>
      <c r="T67" s="9"/>
      <c r="U67" s="9"/>
      <c r="V67" s="9"/>
      <c r="W67" s="9"/>
      <c r="X67" s="9"/>
      <c r="Y67" s="9"/>
      <c r="Z67" s="9"/>
      <c r="AA67" s="9"/>
      <c r="AB67" s="9"/>
      <c r="AC67" s="9"/>
      <c r="AD67" s="9"/>
      <c r="AE67" s="9"/>
      <c r="AF67" s="9"/>
      <c r="AG67" s="9"/>
      <c r="AH67" s="9"/>
      <c r="AI67" s="9"/>
      <c r="AJ67" s="9"/>
    </row>
    <row r="68" spans="1:36">
      <c r="A68" s="14"/>
      <c r="B68" s="9"/>
      <c r="C68" s="9"/>
      <c r="D68" s="9"/>
      <c r="E68" s="9"/>
      <c r="F68" s="9"/>
      <c r="G68" s="9"/>
      <c r="H68" s="9"/>
      <c r="I68" s="9"/>
      <c r="J68" s="9"/>
      <c r="K68" s="9"/>
      <c r="L68" s="9"/>
      <c r="M68" s="9"/>
      <c r="N68" s="9"/>
      <c r="O68" s="9"/>
      <c r="P68" s="9"/>
      <c r="Q68" s="9"/>
      <c r="R68" s="9"/>
      <c r="S68" s="9"/>
      <c r="T68" s="9"/>
      <c r="U68" s="9"/>
      <c r="V68" s="9"/>
      <c r="W68" s="9"/>
      <c r="X68" s="9"/>
      <c r="Y68" s="9"/>
      <c r="Z68" s="9"/>
      <c r="AA68" s="9"/>
      <c r="AB68" s="9"/>
      <c r="AC68" s="9"/>
      <c r="AD68" s="9"/>
      <c r="AE68" s="9"/>
      <c r="AF68" s="9"/>
      <c r="AG68" s="9"/>
      <c r="AH68" s="9"/>
      <c r="AI68" s="9"/>
      <c r="AJ68" s="9"/>
    </row>
    <row r="69" spans="1:36">
      <c r="A69" s="316" t="s">
        <v>867</v>
      </c>
      <c r="B69" s="219" t="s">
        <v>445</v>
      </c>
      <c r="C69" s="9"/>
      <c r="D69" s="9"/>
      <c r="E69" s="9"/>
      <c r="F69" s="9"/>
      <c r="G69" s="9"/>
      <c r="H69" s="9"/>
      <c r="I69" s="9"/>
      <c r="J69" s="9"/>
      <c r="K69" s="9"/>
      <c r="L69" s="9"/>
      <c r="M69" s="9"/>
      <c r="N69" s="9"/>
      <c r="O69" s="9"/>
      <c r="P69" s="9"/>
      <c r="Q69" s="9"/>
      <c r="R69" s="9"/>
      <c r="S69" s="9"/>
      <c r="T69" s="9"/>
      <c r="U69" s="9"/>
      <c r="V69" s="9"/>
      <c r="W69" s="9"/>
      <c r="X69" s="9"/>
      <c r="Y69" s="9"/>
      <c r="Z69" s="9"/>
      <c r="AA69" s="9"/>
      <c r="AB69" s="9"/>
      <c r="AC69" s="9"/>
      <c r="AD69" s="9"/>
      <c r="AE69" s="9"/>
      <c r="AF69" s="9"/>
      <c r="AG69" s="9"/>
      <c r="AH69" s="9"/>
      <c r="AI69" s="9"/>
      <c r="AJ69" s="9"/>
    </row>
    <row r="70" spans="1:36">
      <c r="A70" s="220" t="s">
        <v>115</v>
      </c>
      <c r="B70" s="7">
        <v>4</v>
      </c>
      <c r="C70" s="9"/>
      <c r="D70" s="9"/>
      <c r="E70" s="9"/>
      <c r="F70" s="9"/>
      <c r="G70" s="9"/>
      <c r="H70" s="9"/>
      <c r="I70" s="9"/>
      <c r="J70" s="9"/>
      <c r="K70" s="9"/>
      <c r="L70" s="9"/>
      <c r="M70" s="9"/>
      <c r="N70" s="9"/>
      <c r="O70" s="9"/>
      <c r="P70" s="9"/>
      <c r="Q70" s="9"/>
      <c r="R70" s="9"/>
      <c r="S70" s="9"/>
      <c r="T70" s="9"/>
      <c r="U70" s="9"/>
      <c r="V70" s="9"/>
      <c r="W70" s="9"/>
      <c r="X70" s="9"/>
      <c r="Y70" s="9"/>
      <c r="Z70" s="9"/>
      <c r="AA70" s="9"/>
      <c r="AB70" s="9"/>
      <c r="AC70" s="9"/>
      <c r="AD70" s="9"/>
      <c r="AE70" s="9"/>
      <c r="AF70" s="9"/>
      <c r="AG70" s="9"/>
      <c r="AH70" s="9"/>
      <c r="AI70" s="9"/>
      <c r="AJ70" s="9"/>
    </row>
    <row r="71" spans="1:36">
      <c r="A71" s="220" t="s">
        <v>92</v>
      </c>
      <c r="B71" s="7">
        <v>6</v>
      </c>
      <c r="C71" s="9"/>
      <c r="D71" s="9"/>
      <c r="E71" s="9"/>
      <c r="F71" s="9"/>
      <c r="G71" s="9"/>
      <c r="H71" s="9"/>
      <c r="I71" s="9"/>
      <c r="J71" s="9"/>
      <c r="K71" s="9"/>
      <c r="L71" s="9"/>
      <c r="M71" s="9"/>
      <c r="N71" s="9"/>
      <c r="O71" s="9"/>
      <c r="P71" s="9"/>
      <c r="Q71" s="9"/>
      <c r="R71" s="9"/>
      <c r="S71" s="9"/>
      <c r="T71" s="9"/>
      <c r="U71" s="9"/>
      <c r="V71" s="9"/>
      <c r="W71" s="9"/>
      <c r="X71" s="9"/>
      <c r="Y71" s="9"/>
      <c r="Z71" s="9"/>
      <c r="AA71" s="9"/>
      <c r="AB71" s="9"/>
      <c r="AC71" s="9"/>
      <c r="AD71" s="9"/>
      <c r="AE71" s="9"/>
      <c r="AF71" s="9"/>
      <c r="AG71" s="9"/>
      <c r="AH71" s="9"/>
      <c r="AI71" s="9"/>
      <c r="AJ71" s="9"/>
    </row>
    <row r="72" spans="1:36">
      <c r="A72" s="220" t="s">
        <v>116</v>
      </c>
      <c r="B72" s="7">
        <v>8</v>
      </c>
      <c r="C72" s="9"/>
      <c r="D72" s="9"/>
      <c r="E72" s="9"/>
      <c r="F72" s="9"/>
      <c r="G72" s="9"/>
      <c r="H72" s="9"/>
      <c r="I72" s="9"/>
      <c r="J72" s="9"/>
      <c r="K72" s="9"/>
      <c r="L72" s="9"/>
      <c r="M72" s="9"/>
      <c r="N72" s="9"/>
      <c r="O72" s="9"/>
      <c r="P72" s="9"/>
      <c r="Q72" s="9"/>
      <c r="R72" s="9"/>
      <c r="S72" s="9"/>
      <c r="T72" s="9"/>
      <c r="U72" s="9"/>
      <c r="V72" s="9"/>
      <c r="W72" s="9"/>
      <c r="X72" s="9"/>
      <c r="Y72" s="9"/>
      <c r="Z72" s="9"/>
      <c r="AA72" s="9"/>
      <c r="AB72" s="9"/>
      <c r="AC72" s="9"/>
      <c r="AD72" s="9"/>
      <c r="AE72" s="9"/>
      <c r="AF72" s="9"/>
      <c r="AG72" s="9"/>
      <c r="AH72" s="9"/>
      <c r="AI72" s="9"/>
      <c r="AJ72" s="9"/>
    </row>
    <row r="73" spans="1:36">
      <c r="A73" s="14"/>
      <c r="B73" s="9"/>
      <c r="C73" s="9"/>
      <c r="D73" s="9"/>
      <c r="E73" s="9"/>
      <c r="F73" s="9"/>
      <c r="G73" s="9"/>
      <c r="H73" s="9"/>
      <c r="I73" s="9"/>
      <c r="J73" s="9"/>
      <c r="K73" s="9"/>
      <c r="L73" s="9"/>
      <c r="M73" s="9"/>
      <c r="N73" s="9"/>
      <c r="O73" s="9"/>
      <c r="P73" s="9"/>
      <c r="Q73" s="9"/>
      <c r="R73" s="9"/>
      <c r="S73" s="9"/>
      <c r="T73" s="9"/>
      <c r="U73" s="9"/>
      <c r="V73" s="9"/>
      <c r="W73" s="9"/>
      <c r="X73" s="9"/>
      <c r="Y73" s="9"/>
      <c r="Z73" s="9"/>
      <c r="AA73" s="9"/>
      <c r="AB73" s="9"/>
      <c r="AC73" s="9"/>
      <c r="AD73" s="9"/>
      <c r="AE73" s="9"/>
      <c r="AF73" s="9"/>
      <c r="AG73" s="9"/>
      <c r="AH73" s="9"/>
      <c r="AI73" s="9"/>
      <c r="AJ73" s="9"/>
    </row>
    <row r="74" spans="1:36">
      <c r="A74" s="319" t="s">
        <v>446</v>
      </c>
      <c r="B74" s="9"/>
      <c r="C74" s="9"/>
      <c r="D74" s="9"/>
      <c r="E74" s="9"/>
      <c r="F74" s="9"/>
      <c r="G74" s="9"/>
      <c r="H74" s="9"/>
      <c r="I74" s="9"/>
      <c r="J74" s="9"/>
      <c r="K74" s="9"/>
      <c r="L74" s="9"/>
      <c r="M74" s="9"/>
      <c r="N74" s="9"/>
      <c r="O74" s="9"/>
      <c r="P74" s="9"/>
      <c r="Q74" s="9"/>
      <c r="R74" s="9"/>
      <c r="S74" s="9"/>
      <c r="T74" s="9"/>
      <c r="U74" s="9"/>
      <c r="V74" s="9"/>
      <c r="W74" s="9"/>
      <c r="X74" s="9"/>
      <c r="Y74" s="9"/>
      <c r="Z74" s="9"/>
      <c r="AA74" s="9"/>
      <c r="AB74" s="9"/>
      <c r="AC74" s="9"/>
      <c r="AD74" s="9"/>
      <c r="AE74" s="9"/>
      <c r="AF74" s="9"/>
      <c r="AG74" s="9"/>
      <c r="AH74" s="9"/>
      <c r="AI74" s="9"/>
      <c r="AJ74" s="9"/>
    </row>
    <row r="75" spans="1:36">
      <c r="A75" s="14" t="s">
        <v>661</v>
      </c>
      <c r="B75" s="14"/>
      <c r="C75" s="14"/>
      <c r="D75" s="14"/>
      <c r="E75" s="14"/>
      <c r="F75" s="14" t="s">
        <v>660</v>
      </c>
      <c r="G75" s="14"/>
      <c r="H75" s="9"/>
      <c r="I75" s="9"/>
      <c r="J75" s="9"/>
      <c r="K75" s="9"/>
      <c r="L75" s="9"/>
      <c r="M75" s="9"/>
      <c r="N75" s="9"/>
      <c r="O75" s="9"/>
      <c r="P75" s="9"/>
      <c r="Q75" s="9"/>
      <c r="R75" s="9"/>
      <c r="S75" s="9"/>
      <c r="T75" s="9"/>
      <c r="U75" s="9"/>
      <c r="V75" s="9"/>
      <c r="W75" s="9"/>
      <c r="X75" s="9"/>
      <c r="Y75" s="9"/>
      <c r="Z75" s="9"/>
      <c r="AA75" s="9"/>
      <c r="AB75" s="9"/>
      <c r="AC75" s="9"/>
      <c r="AD75" s="9"/>
      <c r="AE75" s="9"/>
      <c r="AF75" s="9"/>
      <c r="AG75" s="9"/>
      <c r="AH75" s="9"/>
      <c r="AI75" s="9"/>
      <c r="AJ75" s="9"/>
    </row>
    <row r="76" spans="1:36">
      <c r="A76" s="220" t="s">
        <v>110</v>
      </c>
      <c r="B76" s="220" t="s">
        <v>447</v>
      </c>
      <c r="C76" s="14"/>
      <c r="D76" s="14"/>
      <c r="E76" s="14"/>
      <c r="F76" s="220" t="s">
        <v>110</v>
      </c>
      <c r="G76" s="220" t="s">
        <v>447</v>
      </c>
      <c r="H76" s="9"/>
      <c r="I76" s="9"/>
      <c r="J76" s="9"/>
      <c r="K76" s="9"/>
      <c r="L76" s="9"/>
      <c r="M76" s="9"/>
      <c r="N76" s="9"/>
      <c r="O76" s="9"/>
      <c r="P76" s="9"/>
      <c r="Q76" s="9"/>
      <c r="R76" s="9"/>
      <c r="S76" s="9"/>
      <c r="T76" s="9"/>
      <c r="U76" s="9"/>
      <c r="V76" s="9"/>
      <c r="W76" s="9"/>
      <c r="X76" s="9"/>
      <c r="Y76" s="9"/>
      <c r="Z76" s="9"/>
      <c r="AA76" s="9"/>
      <c r="AB76" s="9"/>
      <c r="AC76" s="9"/>
      <c r="AD76" s="9"/>
      <c r="AE76" s="9"/>
      <c r="AF76" s="9"/>
      <c r="AG76" s="9"/>
      <c r="AH76" s="9"/>
      <c r="AI76" s="9"/>
      <c r="AJ76" s="9"/>
    </row>
    <row r="77" spans="1:36">
      <c r="A77" s="7">
        <v>0</v>
      </c>
      <c r="B77" s="7">
        <v>1</v>
      </c>
      <c r="C77" s="9"/>
      <c r="D77" s="9"/>
      <c r="E77" s="9"/>
      <c r="F77" s="7">
        <v>0</v>
      </c>
      <c r="G77" s="7">
        <v>1</v>
      </c>
      <c r="H77" s="9"/>
      <c r="I77" s="9"/>
      <c r="J77" s="9"/>
      <c r="K77" s="9"/>
      <c r="L77" s="9"/>
      <c r="M77" s="9"/>
      <c r="N77" s="9"/>
      <c r="O77" s="9"/>
      <c r="P77" s="9"/>
      <c r="Q77" s="9"/>
      <c r="R77" s="9"/>
      <c r="S77" s="9"/>
      <c r="T77" s="9"/>
      <c r="U77" s="9"/>
      <c r="V77" s="9"/>
      <c r="W77" s="9"/>
      <c r="X77" s="9"/>
      <c r="Y77" s="9"/>
      <c r="Z77" s="9"/>
      <c r="AA77" s="9"/>
      <c r="AB77" s="9"/>
      <c r="AC77" s="9"/>
      <c r="AD77" s="9"/>
      <c r="AE77" s="9"/>
      <c r="AF77" s="9"/>
      <c r="AG77" s="9"/>
      <c r="AH77" s="9"/>
      <c r="AI77" s="9"/>
      <c r="AJ77" s="9"/>
    </row>
    <row r="78" spans="1:36">
      <c r="A78" s="7">
        <v>200</v>
      </c>
      <c r="B78" s="7">
        <v>2</v>
      </c>
      <c r="C78" s="9"/>
      <c r="D78" s="9"/>
      <c r="E78" s="9"/>
      <c r="F78" s="7">
        <v>20</v>
      </c>
      <c r="G78" s="7">
        <v>1</v>
      </c>
      <c r="H78" s="9"/>
      <c r="I78" s="9"/>
      <c r="J78" s="9"/>
      <c r="K78" s="9"/>
      <c r="L78" s="9"/>
      <c r="M78" s="9"/>
      <c r="N78" s="9"/>
      <c r="O78" s="9"/>
      <c r="P78" s="9"/>
      <c r="Q78" s="9"/>
      <c r="R78" s="9"/>
      <c r="S78" s="9"/>
      <c r="T78" s="9"/>
      <c r="U78" s="9"/>
      <c r="V78" s="9"/>
      <c r="W78" s="9"/>
      <c r="X78" s="9"/>
      <c r="Y78" s="9"/>
      <c r="Z78" s="9"/>
      <c r="AA78" s="9"/>
      <c r="AB78" s="9"/>
      <c r="AC78" s="9"/>
      <c r="AD78" s="9"/>
      <c r="AE78" s="9"/>
      <c r="AF78" s="9"/>
      <c r="AG78" s="9"/>
      <c r="AH78" s="9"/>
      <c r="AI78" s="9"/>
      <c r="AJ78" s="9"/>
    </row>
    <row r="79" spans="1:36">
      <c r="A79" s="7">
        <v>500</v>
      </c>
      <c r="B79" s="7">
        <v>3</v>
      </c>
      <c r="C79" s="9"/>
      <c r="D79" s="9"/>
      <c r="E79" s="9"/>
      <c r="F79" s="7">
        <v>50</v>
      </c>
      <c r="G79" s="7">
        <v>2</v>
      </c>
      <c r="H79" s="9"/>
      <c r="I79" s="9"/>
      <c r="J79" s="9"/>
      <c r="K79" s="9"/>
      <c r="L79" s="9"/>
      <c r="M79" s="9"/>
      <c r="N79" s="9"/>
      <c r="O79" s="9"/>
      <c r="P79" s="9"/>
      <c r="Q79" s="9"/>
      <c r="R79" s="9"/>
      <c r="S79" s="9"/>
      <c r="T79" s="9"/>
      <c r="U79" s="9"/>
      <c r="V79" s="9"/>
      <c r="W79" s="9"/>
      <c r="X79" s="9"/>
      <c r="Y79" s="9"/>
      <c r="Z79" s="9"/>
      <c r="AA79" s="9"/>
      <c r="AB79" s="9"/>
      <c r="AC79" s="9"/>
      <c r="AD79" s="9"/>
      <c r="AE79" s="9"/>
      <c r="AF79" s="9"/>
      <c r="AG79" s="9"/>
      <c r="AH79" s="9"/>
      <c r="AI79" s="9"/>
      <c r="AJ79" s="9"/>
    </row>
    <row r="80" spans="1:36">
      <c r="A80" s="7">
        <v>1000</v>
      </c>
      <c r="B80" s="7">
        <v>4</v>
      </c>
      <c r="C80" s="9"/>
      <c r="D80" s="9"/>
      <c r="E80" s="9"/>
      <c r="F80" s="7">
        <v>100</v>
      </c>
      <c r="G80" s="7">
        <v>3</v>
      </c>
      <c r="H80" s="9"/>
      <c r="I80" s="9"/>
      <c r="J80" s="9"/>
      <c r="K80" s="9"/>
      <c r="L80" s="9"/>
      <c r="M80" s="9"/>
      <c r="N80" s="9"/>
      <c r="O80" s="9"/>
      <c r="P80" s="9"/>
      <c r="Q80" s="9"/>
      <c r="R80" s="9"/>
      <c r="S80" s="9"/>
      <c r="T80" s="9"/>
      <c r="U80" s="9"/>
      <c r="V80" s="9"/>
      <c r="W80" s="9"/>
      <c r="X80" s="9"/>
      <c r="Y80" s="9"/>
      <c r="Z80" s="9"/>
      <c r="AA80" s="9"/>
      <c r="AB80" s="9"/>
      <c r="AC80" s="9"/>
      <c r="AD80" s="9"/>
      <c r="AE80" s="9"/>
      <c r="AF80" s="9"/>
      <c r="AG80" s="9"/>
      <c r="AH80" s="9"/>
      <c r="AI80" s="9"/>
      <c r="AJ80" s="9"/>
    </row>
    <row r="81" spans="1:36">
      <c r="A81" s="7">
        <v>10000000000</v>
      </c>
      <c r="B81" s="7"/>
      <c r="C81" s="9"/>
      <c r="D81" s="9"/>
      <c r="E81" s="9"/>
      <c r="F81" s="7">
        <v>1000000000</v>
      </c>
      <c r="G81" s="7"/>
      <c r="H81" s="9"/>
      <c r="I81" s="9"/>
      <c r="J81" s="9"/>
      <c r="K81" s="9"/>
      <c r="L81" s="9"/>
      <c r="M81" s="9"/>
      <c r="N81" s="9"/>
      <c r="O81" s="9"/>
      <c r="P81" s="9"/>
      <c r="Q81" s="9"/>
      <c r="R81" s="9"/>
      <c r="S81" s="9"/>
      <c r="T81" s="9"/>
      <c r="U81" s="9"/>
      <c r="V81" s="9"/>
      <c r="W81" s="9"/>
      <c r="X81" s="9"/>
      <c r="Y81" s="9"/>
      <c r="Z81" s="9"/>
      <c r="AA81" s="9"/>
      <c r="AB81" s="9"/>
      <c r="AC81" s="9"/>
      <c r="AD81" s="9"/>
      <c r="AE81" s="9"/>
      <c r="AF81" s="9"/>
      <c r="AG81" s="9"/>
      <c r="AH81" s="9"/>
      <c r="AI81" s="9"/>
      <c r="AJ81" s="9"/>
    </row>
    <row r="82" spans="1:36">
      <c r="A82" s="9"/>
      <c r="B82" s="9"/>
      <c r="C82" s="9"/>
      <c r="D82" s="9"/>
      <c r="E82" s="9"/>
      <c r="F82" s="9"/>
      <c r="G82" s="9"/>
      <c r="H82" s="9"/>
      <c r="I82" s="9"/>
      <c r="J82" s="9"/>
      <c r="K82" s="9"/>
      <c r="L82" s="9"/>
      <c r="M82" s="9"/>
      <c r="N82" s="9"/>
      <c r="O82" s="9"/>
      <c r="P82" s="9"/>
      <c r="Q82" s="9"/>
      <c r="R82" s="9"/>
      <c r="S82" s="9"/>
      <c r="T82" s="9"/>
      <c r="U82" s="9"/>
      <c r="V82" s="9"/>
      <c r="W82" s="9"/>
      <c r="X82" s="9"/>
      <c r="Y82" s="9"/>
      <c r="Z82" s="9"/>
      <c r="AA82" s="9"/>
      <c r="AB82" s="9"/>
      <c r="AC82" s="9"/>
      <c r="AD82" s="9"/>
      <c r="AE82" s="9"/>
      <c r="AF82" s="9"/>
      <c r="AG82" s="9"/>
      <c r="AH82" s="9"/>
      <c r="AI82" s="9"/>
      <c r="AJ82" s="9"/>
    </row>
    <row r="83" spans="1:36">
      <c r="A83" s="319" t="s">
        <v>844</v>
      </c>
      <c r="B83" s="9"/>
      <c r="C83" s="7">
        <v>150</v>
      </c>
      <c r="D83" s="9"/>
      <c r="E83" s="9"/>
      <c r="F83" s="9"/>
      <c r="G83" s="9"/>
      <c r="H83" s="9"/>
      <c r="I83" s="9"/>
      <c r="J83" s="9"/>
      <c r="K83" s="9"/>
      <c r="L83" s="9"/>
      <c r="M83" s="9"/>
      <c r="N83" s="9"/>
      <c r="O83" s="9"/>
      <c r="P83" s="9"/>
      <c r="Q83" s="9"/>
      <c r="R83" s="9"/>
      <c r="S83" s="9"/>
      <c r="T83" s="9"/>
      <c r="U83" s="9"/>
      <c r="V83" s="9"/>
      <c r="W83" s="9"/>
      <c r="X83" s="9"/>
      <c r="Y83" s="9"/>
      <c r="Z83" s="9"/>
      <c r="AA83" s="9"/>
      <c r="AB83" s="9"/>
      <c r="AC83" s="9"/>
      <c r="AD83" s="9"/>
      <c r="AE83" s="9"/>
      <c r="AF83" s="9"/>
      <c r="AG83" s="9"/>
      <c r="AH83" s="9"/>
      <c r="AI83" s="9"/>
      <c r="AJ83" s="9"/>
    </row>
    <row r="84" spans="1:36">
      <c r="A84" s="14"/>
      <c r="B84" s="9"/>
      <c r="C84" s="9"/>
      <c r="D84" s="9"/>
      <c r="E84" s="9"/>
      <c r="F84" s="9"/>
      <c r="G84" s="9"/>
      <c r="H84" s="9"/>
      <c r="I84" s="9"/>
      <c r="J84" s="9"/>
      <c r="K84" s="9"/>
      <c r="L84" s="9"/>
      <c r="M84" s="9"/>
      <c r="N84" s="9"/>
      <c r="O84" s="9"/>
      <c r="P84" s="9"/>
      <c r="Q84" s="9"/>
      <c r="R84" s="9"/>
      <c r="S84" s="9"/>
      <c r="T84" s="9"/>
      <c r="U84" s="9"/>
      <c r="V84" s="9"/>
      <c r="W84" s="9"/>
      <c r="X84" s="9"/>
      <c r="Y84" s="9"/>
      <c r="Z84" s="9"/>
      <c r="AA84" s="9"/>
      <c r="AB84" s="9"/>
      <c r="AC84" s="9"/>
      <c r="AD84" s="9"/>
      <c r="AE84" s="9"/>
      <c r="AF84" s="9"/>
      <c r="AG84" s="9"/>
      <c r="AH84" s="9"/>
      <c r="AI84" s="9"/>
      <c r="AJ84" s="9"/>
    </row>
    <row r="85" spans="1:36">
      <c r="A85" s="319" t="s">
        <v>448</v>
      </c>
      <c r="B85" s="9"/>
      <c r="C85" s="9"/>
      <c r="D85" s="9"/>
      <c r="E85" s="9"/>
      <c r="F85" s="9"/>
      <c r="G85" s="9"/>
      <c r="H85" s="9"/>
      <c r="I85" s="9"/>
      <c r="J85" s="9"/>
      <c r="K85" s="9"/>
      <c r="L85" s="9"/>
      <c r="M85" s="9"/>
      <c r="N85" s="9"/>
      <c r="O85" s="9"/>
      <c r="P85" s="9"/>
      <c r="Q85" s="9"/>
      <c r="R85" s="9"/>
      <c r="S85" s="9"/>
      <c r="T85" s="9"/>
      <c r="U85" s="9"/>
      <c r="V85" s="9"/>
      <c r="W85" s="9"/>
      <c r="X85" s="9"/>
      <c r="Y85" s="9"/>
      <c r="Z85" s="9"/>
      <c r="AA85" s="9"/>
      <c r="AB85" s="9"/>
      <c r="AC85" s="9"/>
      <c r="AD85" s="9"/>
      <c r="AE85" s="9"/>
      <c r="AF85" s="9"/>
      <c r="AG85" s="9"/>
      <c r="AH85" s="9"/>
      <c r="AI85" s="9"/>
      <c r="AJ85" s="9"/>
    </row>
    <row r="86" spans="1:36">
      <c r="A86" s="14"/>
      <c r="B86" s="9"/>
      <c r="C86" s="9"/>
      <c r="D86" s="9"/>
      <c r="E86" s="9"/>
      <c r="F86" s="9"/>
      <c r="G86" s="9"/>
      <c r="H86" s="9"/>
      <c r="I86" s="9"/>
      <c r="J86" s="9"/>
      <c r="K86" s="9"/>
      <c r="L86" s="9"/>
      <c r="M86" s="9"/>
      <c r="N86" s="9"/>
      <c r="O86" s="9"/>
      <c r="P86" s="9"/>
      <c r="Q86" s="9"/>
      <c r="R86" s="9"/>
      <c r="S86" s="9"/>
      <c r="T86" s="9"/>
      <c r="U86" s="9"/>
      <c r="V86" s="9"/>
      <c r="W86" s="9"/>
      <c r="X86" s="9"/>
      <c r="Y86" s="9"/>
      <c r="Z86" s="9"/>
      <c r="AA86" s="9"/>
      <c r="AB86" s="9"/>
      <c r="AC86" s="9"/>
      <c r="AD86" s="9"/>
      <c r="AE86" s="9"/>
      <c r="AF86" s="9"/>
      <c r="AG86" s="9"/>
      <c r="AH86" s="9"/>
      <c r="AI86" s="9"/>
      <c r="AJ86" s="9"/>
    </row>
    <row r="87" spans="1:36">
      <c r="A87" s="14"/>
      <c r="B87" s="631" t="s">
        <v>449</v>
      </c>
      <c r="C87" s="632"/>
      <c r="D87" s="633"/>
      <c r="E87" s="631" t="s">
        <v>450</v>
      </c>
      <c r="F87" s="632"/>
      <c r="G87" s="633"/>
      <c r="H87" s="9"/>
      <c r="I87" s="9"/>
      <c r="J87" s="9"/>
      <c r="K87" s="9"/>
      <c r="L87" s="9"/>
      <c r="M87" s="9"/>
      <c r="N87" s="9"/>
      <c r="O87" s="9"/>
      <c r="P87" s="9"/>
      <c r="Q87" s="9"/>
      <c r="R87" s="9"/>
      <c r="S87" s="9"/>
      <c r="T87" s="9"/>
      <c r="U87" s="9"/>
      <c r="V87" s="9"/>
      <c r="W87" s="9"/>
      <c r="X87" s="9"/>
      <c r="Y87" s="9"/>
      <c r="Z87" s="9"/>
      <c r="AA87" s="9"/>
      <c r="AB87" s="9"/>
      <c r="AC87" s="9"/>
      <c r="AD87" s="9"/>
      <c r="AE87" s="9"/>
      <c r="AF87" s="9"/>
      <c r="AG87" s="9"/>
      <c r="AH87" s="9"/>
      <c r="AI87" s="9"/>
      <c r="AJ87" s="9"/>
    </row>
    <row r="88" spans="1:36">
      <c r="A88" s="14"/>
      <c r="B88" s="217" t="s">
        <v>451</v>
      </c>
      <c r="C88" s="217" t="s">
        <v>452</v>
      </c>
      <c r="D88" s="217" t="s">
        <v>453</v>
      </c>
      <c r="E88" s="217" t="s">
        <v>451</v>
      </c>
      <c r="F88" s="217" t="s">
        <v>452</v>
      </c>
      <c r="G88" s="217" t="s">
        <v>453</v>
      </c>
      <c r="H88" s="9"/>
      <c r="I88" s="9"/>
      <c r="J88" s="9"/>
      <c r="K88" s="9"/>
      <c r="L88" s="9"/>
      <c r="M88" s="9"/>
      <c r="N88" s="9"/>
      <c r="O88" s="9"/>
      <c r="P88" s="9"/>
      <c r="Q88" s="9"/>
      <c r="R88" s="9"/>
      <c r="S88" s="9"/>
      <c r="T88" s="9"/>
      <c r="U88" s="9"/>
      <c r="V88" s="9"/>
      <c r="W88" s="9"/>
      <c r="X88" s="9"/>
      <c r="Y88" s="9"/>
      <c r="Z88" s="9"/>
      <c r="AA88" s="9"/>
      <c r="AB88" s="9"/>
      <c r="AC88" s="9"/>
      <c r="AD88" s="9"/>
      <c r="AE88" s="9"/>
      <c r="AF88" s="9"/>
      <c r="AG88" s="9"/>
      <c r="AH88" s="9"/>
      <c r="AI88" s="9"/>
      <c r="AJ88" s="9"/>
    </row>
    <row r="89" spans="1:36">
      <c r="A89" s="220" t="s">
        <v>259</v>
      </c>
      <c r="B89" s="7">
        <v>650</v>
      </c>
      <c r="C89" s="21"/>
      <c r="D89" s="316"/>
      <c r="E89" s="7">
        <v>20</v>
      </c>
      <c r="F89" s="21"/>
      <c r="G89" s="316"/>
      <c r="H89" s="9"/>
      <c r="I89" s="9"/>
      <c r="J89" s="9"/>
      <c r="K89" s="9"/>
      <c r="L89" s="9"/>
      <c r="M89" s="9"/>
      <c r="N89" s="9"/>
      <c r="O89" s="9"/>
      <c r="P89" s="9"/>
      <c r="Q89" s="9"/>
      <c r="R89" s="9"/>
      <c r="S89" s="9"/>
      <c r="T89" s="9"/>
      <c r="U89" s="9"/>
      <c r="V89" s="9"/>
      <c r="W89" s="9"/>
      <c r="X89" s="9"/>
      <c r="Y89" s="9"/>
      <c r="Z89" s="9"/>
      <c r="AA89" s="9"/>
      <c r="AB89" s="9"/>
      <c r="AC89" s="9"/>
      <c r="AD89" s="9"/>
      <c r="AE89" s="9"/>
      <c r="AF89" s="9"/>
      <c r="AG89" s="9"/>
      <c r="AH89" s="9"/>
      <c r="AI89" s="9"/>
      <c r="AJ89" s="9"/>
    </row>
    <row r="90" spans="1:36">
      <c r="A90" s="220" t="s">
        <v>260</v>
      </c>
      <c r="B90" s="7">
        <v>250</v>
      </c>
      <c r="C90" s="7">
        <v>1</v>
      </c>
      <c r="D90" s="317" t="s">
        <v>454</v>
      </c>
      <c r="E90" s="7">
        <v>30</v>
      </c>
      <c r="F90" s="23"/>
      <c r="G90" s="317"/>
      <c r="H90" s="9"/>
      <c r="I90" s="9"/>
      <c r="J90" s="9"/>
      <c r="K90" s="9"/>
      <c r="L90" s="9"/>
      <c r="M90" s="9"/>
      <c r="N90" s="9"/>
      <c r="O90" s="9"/>
      <c r="P90" s="9"/>
      <c r="Q90" s="9"/>
      <c r="R90" s="9"/>
      <c r="S90" s="9"/>
      <c r="T90" s="9"/>
      <c r="U90" s="9"/>
      <c r="V90" s="9"/>
      <c r="W90" s="9"/>
      <c r="X90" s="9"/>
      <c r="Y90" s="9"/>
      <c r="Z90" s="9"/>
      <c r="AA90" s="9"/>
      <c r="AB90" s="9"/>
      <c r="AC90" s="9"/>
      <c r="AD90" s="9"/>
      <c r="AE90" s="9"/>
      <c r="AF90" s="9"/>
      <c r="AG90" s="9"/>
      <c r="AH90" s="9"/>
      <c r="AI90" s="9"/>
      <c r="AJ90" s="9"/>
    </row>
    <row r="91" spans="1:36">
      <c r="A91" s="220" t="s">
        <v>720</v>
      </c>
      <c r="B91" s="7">
        <v>650</v>
      </c>
      <c r="C91" s="7"/>
      <c r="D91" s="317"/>
      <c r="E91" s="7">
        <v>30</v>
      </c>
      <c r="F91" s="23"/>
      <c r="G91" s="317"/>
      <c r="H91" s="9"/>
      <c r="I91" s="9"/>
      <c r="J91" s="9"/>
      <c r="K91" s="9"/>
      <c r="L91" s="9"/>
      <c r="M91" s="9"/>
      <c r="N91" s="9"/>
      <c r="O91" s="9"/>
      <c r="P91" s="9"/>
      <c r="Q91" s="9"/>
      <c r="R91" s="9"/>
      <c r="S91" s="9"/>
      <c r="T91" s="9"/>
      <c r="U91" s="9"/>
      <c r="V91" s="9"/>
      <c r="W91" s="9"/>
      <c r="X91" s="9"/>
      <c r="Y91" s="9"/>
      <c r="Z91" s="9"/>
      <c r="AA91" s="9"/>
      <c r="AB91" s="9"/>
      <c r="AC91" s="9"/>
      <c r="AD91" s="9"/>
      <c r="AE91" s="9"/>
      <c r="AF91" s="9"/>
      <c r="AG91" s="9"/>
      <c r="AH91" s="9"/>
      <c r="AI91" s="9"/>
      <c r="AJ91" s="9"/>
    </row>
    <row r="92" spans="1:36">
      <c r="A92" s="220" t="s">
        <v>721</v>
      </c>
      <c r="B92" s="7">
        <v>650</v>
      </c>
      <c r="C92" s="7"/>
      <c r="D92" s="317"/>
      <c r="E92" s="7">
        <v>50</v>
      </c>
      <c r="F92" s="23"/>
      <c r="G92" s="317"/>
      <c r="H92" s="9"/>
      <c r="I92" s="9"/>
      <c r="J92" s="9"/>
      <c r="K92" s="9"/>
      <c r="L92" s="9"/>
      <c r="M92" s="9"/>
      <c r="N92" s="9"/>
      <c r="O92" s="9"/>
      <c r="P92" s="9"/>
      <c r="Q92" s="9"/>
      <c r="R92" s="9"/>
      <c r="S92" s="9"/>
      <c r="T92" s="9"/>
      <c r="U92" s="9"/>
      <c r="V92" s="9"/>
      <c r="W92" s="9"/>
      <c r="X92" s="9"/>
      <c r="Y92" s="9"/>
      <c r="Z92" s="9"/>
      <c r="AA92" s="9"/>
      <c r="AB92" s="9"/>
      <c r="AC92" s="9"/>
      <c r="AD92" s="9"/>
      <c r="AE92" s="9"/>
      <c r="AF92" s="9"/>
      <c r="AG92" s="9"/>
      <c r="AH92" s="9"/>
      <c r="AI92" s="9"/>
      <c r="AJ92" s="9"/>
    </row>
    <row r="93" spans="1:36">
      <c r="A93" s="220" t="s">
        <v>261</v>
      </c>
      <c r="B93" s="7">
        <v>180</v>
      </c>
      <c r="C93" s="23"/>
      <c r="D93" s="317"/>
      <c r="E93" s="7">
        <v>20</v>
      </c>
      <c r="F93" s="23"/>
      <c r="G93" s="317"/>
      <c r="H93" s="9"/>
      <c r="I93" s="9"/>
      <c r="J93" s="9"/>
      <c r="K93" s="9"/>
      <c r="L93" s="9"/>
      <c r="M93" s="9"/>
      <c r="N93" s="9"/>
      <c r="O93" s="9"/>
      <c r="P93" s="9"/>
      <c r="Q93" s="9"/>
      <c r="R93" s="9"/>
      <c r="S93" s="9"/>
      <c r="T93" s="9"/>
      <c r="U93" s="9"/>
      <c r="V93" s="9"/>
      <c r="W93" s="9"/>
      <c r="X93" s="9"/>
      <c r="Y93" s="9"/>
      <c r="Z93" s="9"/>
      <c r="AA93" s="9"/>
      <c r="AB93" s="9"/>
      <c r="AC93" s="9"/>
      <c r="AD93" s="9"/>
      <c r="AE93" s="9"/>
      <c r="AF93" s="9"/>
      <c r="AG93" s="9"/>
      <c r="AH93" s="9"/>
      <c r="AI93" s="9"/>
      <c r="AJ93" s="9"/>
    </row>
    <row r="94" spans="1:36">
      <c r="A94" s="220" t="s">
        <v>262</v>
      </c>
      <c r="B94" s="7">
        <v>400</v>
      </c>
      <c r="C94" s="7">
        <v>0.2</v>
      </c>
      <c r="D94" s="317" t="s">
        <v>3</v>
      </c>
      <c r="E94" s="7">
        <v>60</v>
      </c>
      <c r="F94" s="23"/>
      <c r="G94" s="317"/>
      <c r="H94" s="9"/>
      <c r="I94" s="9"/>
      <c r="J94" s="9"/>
      <c r="K94" s="9"/>
      <c r="L94" s="9"/>
      <c r="M94" s="9"/>
      <c r="N94" s="9"/>
      <c r="O94" s="9"/>
      <c r="P94" s="9"/>
      <c r="Q94" s="9"/>
      <c r="R94" s="9"/>
      <c r="S94" s="9"/>
      <c r="T94" s="9"/>
      <c r="U94" s="9"/>
      <c r="V94" s="9"/>
      <c r="W94" s="9"/>
      <c r="X94" s="9"/>
      <c r="Y94" s="9"/>
      <c r="Z94" s="9"/>
      <c r="AA94" s="9"/>
      <c r="AB94" s="9"/>
      <c r="AC94" s="9"/>
      <c r="AD94" s="9"/>
      <c r="AE94" s="9"/>
      <c r="AF94" s="9"/>
      <c r="AG94" s="9"/>
      <c r="AH94" s="9"/>
      <c r="AI94" s="9"/>
      <c r="AJ94" s="9"/>
    </row>
    <row r="95" spans="1:36">
      <c r="A95" s="220" t="s">
        <v>731</v>
      </c>
      <c r="B95" s="7">
        <v>400</v>
      </c>
      <c r="C95" s="7">
        <v>0.2</v>
      </c>
      <c r="D95" s="317" t="s">
        <v>3</v>
      </c>
      <c r="E95" s="7">
        <v>0</v>
      </c>
      <c r="F95" s="23"/>
      <c r="G95" s="317"/>
      <c r="H95" s="9"/>
      <c r="I95" s="9"/>
      <c r="J95" s="9"/>
      <c r="K95" s="9"/>
      <c r="L95" s="9"/>
      <c r="M95" s="9"/>
      <c r="N95" s="9"/>
      <c r="O95" s="9"/>
      <c r="P95" s="9"/>
      <c r="Q95" s="9"/>
      <c r="R95" s="9"/>
      <c r="S95" s="9"/>
      <c r="T95" s="9"/>
      <c r="U95" s="9"/>
      <c r="V95" s="9"/>
      <c r="W95" s="9"/>
      <c r="X95" s="9"/>
      <c r="Y95" s="9"/>
      <c r="Z95" s="9"/>
      <c r="AA95" s="9"/>
      <c r="AB95" s="9"/>
      <c r="AC95" s="9"/>
      <c r="AD95" s="9"/>
      <c r="AE95" s="9"/>
      <c r="AF95" s="9"/>
      <c r="AG95" s="9"/>
      <c r="AH95" s="9"/>
      <c r="AI95" s="9"/>
      <c r="AJ95" s="9"/>
    </row>
    <row r="96" spans="1:36">
      <c r="A96" s="502" t="s">
        <v>263</v>
      </c>
      <c r="B96" s="7">
        <v>150</v>
      </c>
      <c r="C96" s="7">
        <v>5</v>
      </c>
      <c r="D96" s="317" t="s">
        <v>455</v>
      </c>
      <c r="E96" s="23"/>
      <c r="F96" s="7">
        <v>5</v>
      </c>
      <c r="G96" s="317" t="s">
        <v>455</v>
      </c>
      <c r="H96" s="9"/>
      <c r="I96" s="9"/>
      <c r="J96" s="9"/>
      <c r="K96" s="9"/>
      <c r="L96" s="9"/>
      <c r="M96" s="9"/>
      <c r="N96" s="9"/>
      <c r="O96" s="9"/>
      <c r="P96" s="9"/>
      <c r="Q96" s="9"/>
      <c r="R96" s="9"/>
      <c r="S96" s="9"/>
      <c r="T96" s="9"/>
      <c r="U96" s="9"/>
      <c r="V96" s="9"/>
      <c r="W96" s="9"/>
      <c r="X96" s="9"/>
      <c r="Y96" s="9"/>
      <c r="Z96" s="9"/>
      <c r="AA96" s="9"/>
      <c r="AB96" s="9"/>
      <c r="AC96" s="9"/>
      <c r="AD96" s="9"/>
      <c r="AE96" s="9"/>
      <c r="AF96" s="9"/>
      <c r="AG96" s="9"/>
      <c r="AH96" s="9"/>
      <c r="AI96" s="9"/>
      <c r="AJ96" s="9"/>
    </row>
    <row r="97" spans="1:36">
      <c r="A97" s="502" t="s">
        <v>264</v>
      </c>
      <c r="B97" s="7">
        <v>150</v>
      </c>
      <c r="C97" s="7">
        <v>0.1</v>
      </c>
      <c r="D97" s="317" t="s">
        <v>239</v>
      </c>
      <c r="E97" s="7">
        <v>20</v>
      </c>
      <c r="F97" s="7">
        <v>0.5</v>
      </c>
      <c r="G97" s="317" t="s">
        <v>239</v>
      </c>
      <c r="H97" s="9"/>
      <c r="I97" s="9"/>
      <c r="J97" s="9"/>
      <c r="K97" s="9"/>
      <c r="L97" s="9"/>
      <c r="M97" s="9"/>
      <c r="N97" s="9"/>
      <c r="O97" s="9"/>
      <c r="P97" s="9"/>
      <c r="Q97" s="9"/>
      <c r="R97" s="9"/>
      <c r="S97" s="9"/>
      <c r="T97" s="9"/>
      <c r="U97" s="9"/>
      <c r="V97" s="9"/>
      <c r="W97" s="9"/>
      <c r="X97" s="9"/>
      <c r="Y97" s="9"/>
      <c r="Z97" s="9"/>
      <c r="AA97" s="9"/>
      <c r="AB97" s="9"/>
      <c r="AC97" s="9"/>
      <c r="AD97" s="9"/>
      <c r="AE97" s="9"/>
      <c r="AF97" s="9"/>
      <c r="AG97" s="9"/>
      <c r="AH97" s="9"/>
      <c r="AI97" s="9"/>
      <c r="AJ97" s="9"/>
    </row>
    <row r="98" spans="1:36">
      <c r="A98" s="220" t="s">
        <v>456</v>
      </c>
      <c r="B98" s="37">
        <v>0.2</v>
      </c>
      <c r="C98" s="24"/>
      <c r="D98" s="318"/>
      <c r="E98" s="24"/>
      <c r="F98" s="24"/>
      <c r="G98" s="318"/>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row>
    <row r="99" spans="1:36">
      <c r="A99" s="14"/>
      <c r="B99" s="9"/>
      <c r="C99" s="9"/>
      <c r="D99" s="9"/>
      <c r="E99" s="9"/>
      <c r="F99" s="9"/>
      <c r="G99" s="9"/>
      <c r="H99" s="9"/>
      <c r="I99" s="9"/>
      <c r="J99" s="9"/>
      <c r="K99" s="9"/>
      <c r="L99" s="9"/>
      <c r="M99" s="9"/>
      <c r="N99" s="9"/>
      <c r="O99" s="9"/>
      <c r="P99" s="9"/>
      <c r="Q99" s="9"/>
      <c r="R99" s="9"/>
      <c r="S99" s="9"/>
      <c r="T99" s="9"/>
      <c r="U99" s="9"/>
      <c r="V99" s="9"/>
      <c r="W99" s="9"/>
      <c r="X99" s="9"/>
      <c r="Y99" s="9"/>
      <c r="Z99" s="9"/>
      <c r="AA99" s="9"/>
      <c r="AB99" s="9"/>
      <c r="AC99" s="9"/>
      <c r="AD99" s="9"/>
      <c r="AE99" s="9"/>
      <c r="AF99" s="9"/>
      <c r="AG99" s="9"/>
      <c r="AH99" s="9"/>
      <c r="AI99" s="9"/>
      <c r="AJ99" s="9"/>
    </row>
    <row r="100" spans="1:36">
      <c r="A100" s="14"/>
      <c r="B100" s="9"/>
      <c r="C100" s="9"/>
      <c r="D100" s="9"/>
      <c r="E100" s="9"/>
      <c r="F100" s="9"/>
      <c r="G100" s="9"/>
      <c r="H100" s="9"/>
      <c r="I100" s="9"/>
      <c r="J100" s="9"/>
      <c r="K100" s="9"/>
      <c r="L100" s="9"/>
      <c r="M100" s="9"/>
      <c r="N100" s="9"/>
      <c r="O100" s="9"/>
      <c r="P100" s="9"/>
      <c r="Q100" s="9"/>
      <c r="R100" s="9"/>
      <c r="S100" s="9"/>
      <c r="T100" s="9"/>
      <c r="U100" s="9"/>
      <c r="V100" s="9"/>
      <c r="W100" s="9"/>
      <c r="X100" s="9"/>
      <c r="Y100" s="9"/>
      <c r="Z100" s="9"/>
      <c r="AA100" s="9"/>
      <c r="AB100" s="9"/>
      <c r="AC100" s="9"/>
      <c r="AD100" s="9"/>
      <c r="AE100" s="9"/>
      <c r="AF100" s="9"/>
      <c r="AG100" s="9"/>
      <c r="AH100" s="9"/>
      <c r="AI100" s="9"/>
      <c r="AJ100" s="9"/>
    </row>
    <row r="101" spans="1:36">
      <c r="A101" s="14"/>
      <c r="B101" s="9"/>
      <c r="C101" s="9"/>
      <c r="D101" s="9"/>
      <c r="E101" s="9"/>
      <c r="F101" s="9"/>
      <c r="G101" s="9"/>
      <c r="H101" s="9"/>
      <c r="I101" s="9"/>
      <c r="J101" s="9"/>
      <c r="K101" s="9"/>
      <c r="L101" s="9"/>
      <c r="M101" s="9"/>
      <c r="N101" s="9"/>
      <c r="O101" s="9"/>
      <c r="P101" s="9"/>
      <c r="Q101" s="9"/>
      <c r="R101" s="9"/>
      <c r="S101" s="9"/>
      <c r="T101" s="9"/>
      <c r="U101" s="9"/>
      <c r="V101" s="9"/>
      <c r="W101" s="9"/>
      <c r="X101" s="9"/>
      <c r="Y101" s="9"/>
      <c r="Z101" s="9"/>
      <c r="AA101" s="9"/>
      <c r="AB101" s="9"/>
      <c r="AC101" s="9"/>
      <c r="AD101" s="9"/>
      <c r="AE101" s="9"/>
      <c r="AF101" s="9"/>
      <c r="AG101" s="9"/>
      <c r="AH101" s="9"/>
      <c r="AI101" s="9"/>
      <c r="AJ101" s="9"/>
    </row>
    <row r="102" spans="1:36">
      <c r="A102" s="9"/>
      <c r="B102" s="9"/>
      <c r="C102" s="9"/>
      <c r="D102" s="9"/>
      <c r="E102" s="9"/>
      <c r="F102" s="9"/>
      <c r="G102" s="9"/>
      <c r="H102" s="9"/>
      <c r="I102" s="9"/>
      <c r="J102" s="9"/>
      <c r="K102" s="9"/>
      <c r="L102" s="9"/>
      <c r="M102" s="9"/>
      <c r="N102" s="9"/>
      <c r="O102" s="9"/>
      <c r="P102" s="9"/>
      <c r="Q102" s="9"/>
      <c r="R102" s="9"/>
      <c r="S102" s="9"/>
      <c r="T102" s="9"/>
      <c r="U102" s="9"/>
      <c r="V102" s="9"/>
      <c r="W102" s="9"/>
      <c r="X102" s="9"/>
      <c r="Y102" s="9"/>
      <c r="Z102" s="9"/>
      <c r="AA102" s="9"/>
      <c r="AB102" s="9"/>
      <c r="AC102" s="9"/>
      <c r="AD102" s="9"/>
      <c r="AE102" s="9"/>
      <c r="AF102" s="9"/>
      <c r="AG102" s="9"/>
      <c r="AH102" s="9"/>
      <c r="AI102" s="9"/>
      <c r="AJ102" s="9"/>
    </row>
    <row r="103" spans="1:36">
      <c r="A103" s="9"/>
      <c r="B103" s="9"/>
      <c r="C103" s="9"/>
      <c r="D103" s="9"/>
      <c r="E103" s="9"/>
      <c r="F103" s="9"/>
      <c r="G103" s="9"/>
      <c r="H103" s="9"/>
      <c r="I103" s="9"/>
      <c r="J103" s="9"/>
      <c r="K103" s="9"/>
      <c r="L103" s="9"/>
      <c r="M103" s="9"/>
      <c r="N103" s="9"/>
      <c r="O103" s="9"/>
      <c r="P103" s="9"/>
      <c r="Q103" s="9"/>
      <c r="R103" s="9"/>
      <c r="S103" s="9"/>
      <c r="T103" s="9"/>
      <c r="U103" s="9"/>
      <c r="V103" s="9"/>
      <c r="W103" s="9"/>
      <c r="X103" s="9"/>
      <c r="Y103" s="9"/>
      <c r="Z103" s="9"/>
      <c r="AA103" s="9"/>
      <c r="AB103" s="9"/>
      <c r="AC103" s="9"/>
      <c r="AD103" s="9"/>
      <c r="AE103" s="9"/>
      <c r="AF103" s="9"/>
      <c r="AG103" s="9"/>
      <c r="AH103" s="9"/>
      <c r="AI103" s="9"/>
      <c r="AJ103" s="9"/>
    </row>
    <row r="104" spans="1:36">
      <c r="A104" s="9"/>
      <c r="B104" s="9"/>
      <c r="C104" s="9"/>
      <c r="D104" s="9"/>
      <c r="E104" s="9"/>
      <c r="F104" s="9"/>
      <c r="G104" s="9"/>
      <c r="H104" s="9"/>
      <c r="I104" s="9"/>
      <c r="J104" s="9"/>
      <c r="K104" s="9"/>
      <c r="L104" s="9"/>
      <c r="M104" s="9"/>
      <c r="N104" s="9"/>
      <c r="O104" s="9"/>
      <c r="P104" s="9"/>
      <c r="Q104" s="9"/>
      <c r="R104" s="9"/>
      <c r="S104" s="9"/>
      <c r="T104" s="9"/>
      <c r="U104" s="9"/>
      <c r="V104" s="9"/>
      <c r="W104" s="9"/>
      <c r="X104" s="9"/>
      <c r="Y104" s="9"/>
      <c r="Z104" s="9"/>
      <c r="AA104" s="9"/>
      <c r="AB104" s="9"/>
      <c r="AC104" s="9"/>
      <c r="AD104" s="9"/>
      <c r="AE104" s="9"/>
      <c r="AF104" s="9"/>
      <c r="AG104" s="9"/>
      <c r="AH104" s="9"/>
      <c r="AI104" s="9"/>
      <c r="AJ104" s="9"/>
    </row>
    <row r="105" spans="1:36">
      <c r="A105" s="9"/>
      <c r="B105" s="9"/>
      <c r="C105" s="9"/>
      <c r="D105" s="9"/>
      <c r="E105" s="9"/>
      <c r="F105" s="9"/>
      <c r="G105" s="9"/>
      <c r="H105" s="9"/>
      <c r="I105" s="9"/>
      <c r="J105" s="9"/>
      <c r="K105" s="9"/>
      <c r="L105" s="9"/>
      <c r="M105" s="9"/>
      <c r="N105" s="9"/>
      <c r="O105" s="9"/>
      <c r="P105" s="9"/>
      <c r="Q105" s="9"/>
      <c r="R105" s="9"/>
      <c r="S105" s="9"/>
      <c r="T105" s="9"/>
      <c r="U105" s="9"/>
      <c r="V105" s="9"/>
      <c r="W105" s="9"/>
      <c r="X105" s="9"/>
      <c r="Y105" s="9"/>
      <c r="Z105" s="9"/>
      <c r="AA105" s="9"/>
      <c r="AB105" s="9"/>
      <c r="AC105" s="9"/>
      <c r="AD105" s="9"/>
      <c r="AE105" s="9"/>
      <c r="AF105" s="9"/>
      <c r="AG105" s="9"/>
      <c r="AH105" s="9"/>
      <c r="AI105" s="9"/>
      <c r="AJ105" s="9"/>
    </row>
    <row r="106" spans="1:36">
      <c r="A106" s="9"/>
      <c r="B106" s="9"/>
      <c r="C106" s="9"/>
      <c r="D106" s="9"/>
      <c r="E106" s="9"/>
      <c r="F106" s="9"/>
      <c r="G106" s="9"/>
      <c r="H106" s="9"/>
      <c r="I106" s="9"/>
      <c r="J106" s="9"/>
      <c r="K106" s="9"/>
      <c r="L106" s="9"/>
      <c r="M106" s="9"/>
      <c r="N106" s="9"/>
      <c r="O106" s="9"/>
      <c r="P106" s="9"/>
      <c r="Q106" s="9"/>
      <c r="R106" s="9"/>
      <c r="S106" s="9"/>
      <c r="T106" s="9"/>
      <c r="U106" s="9"/>
      <c r="V106" s="9"/>
      <c r="W106" s="9"/>
      <c r="X106" s="9"/>
      <c r="Y106" s="9"/>
      <c r="Z106" s="9"/>
      <c r="AA106" s="9"/>
      <c r="AB106" s="9"/>
      <c r="AC106" s="9"/>
      <c r="AD106" s="9"/>
      <c r="AE106" s="9"/>
      <c r="AF106" s="9"/>
      <c r="AG106" s="9"/>
      <c r="AH106" s="9"/>
      <c r="AI106" s="9"/>
      <c r="AJ106" s="9"/>
    </row>
    <row r="107" spans="1:36">
      <c r="A107" s="9"/>
      <c r="B107" s="9"/>
      <c r="C107" s="9"/>
      <c r="D107" s="9"/>
      <c r="E107" s="9"/>
      <c r="F107" s="9"/>
      <c r="G107" s="9"/>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row>
    <row r="108" spans="1:36">
      <c r="A108" s="9"/>
      <c r="B108" s="9"/>
      <c r="C108" s="9"/>
      <c r="D108" s="9"/>
      <c r="E108" s="9"/>
      <c r="F108" s="9"/>
      <c r="G108" s="9"/>
      <c r="H108" s="9"/>
      <c r="I108" s="9"/>
      <c r="J108" s="9"/>
      <c r="K108" s="9"/>
      <c r="L108" s="9"/>
      <c r="M108" s="9"/>
      <c r="N108" s="9"/>
      <c r="O108" s="9"/>
      <c r="P108" s="9"/>
      <c r="Q108" s="9"/>
      <c r="R108" s="9"/>
      <c r="S108" s="9"/>
      <c r="T108" s="9"/>
      <c r="U108" s="9"/>
      <c r="V108" s="9"/>
      <c r="W108" s="9"/>
      <c r="X108" s="9"/>
      <c r="Y108" s="9"/>
      <c r="Z108" s="9"/>
      <c r="AA108" s="9"/>
      <c r="AB108" s="9"/>
      <c r="AC108" s="9"/>
      <c r="AD108" s="9"/>
      <c r="AE108" s="9"/>
      <c r="AF108" s="9"/>
      <c r="AG108" s="9"/>
      <c r="AH108" s="9"/>
      <c r="AI108" s="9"/>
      <c r="AJ108" s="9"/>
    </row>
    <row r="109" spans="1:36">
      <c r="A109" s="9"/>
      <c r="B109" s="9"/>
      <c r="C109" s="9"/>
      <c r="D109" s="9"/>
      <c r="E109" s="9"/>
      <c r="F109" s="9"/>
      <c r="G109" s="9"/>
      <c r="H109" s="9"/>
      <c r="I109" s="9"/>
      <c r="J109" s="9"/>
      <c r="K109" s="9"/>
      <c r="L109" s="9"/>
      <c r="M109" s="9"/>
      <c r="N109" s="9"/>
      <c r="O109" s="9"/>
      <c r="P109" s="9"/>
      <c r="Q109" s="9"/>
      <c r="R109" s="9"/>
      <c r="S109" s="9"/>
      <c r="T109" s="9"/>
      <c r="U109" s="9"/>
      <c r="V109" s="9"/>
      <c r="W109" s="9"/>
      <c r="X109" s="9"/>
      <c r="Y109" s="9"/>
      <c r="Z109" s="9"/>
      <c r="AA109" s="9"/>
      <c r="AB109" s="9"/>
      <c r="AC109" s="9"/>
      <c r="AD109" s="9"/>
      <c r="AE109" s="9"/>
      <c r="AF109" s="9"/>
      <c r="AG109" s="9"/>
      <c r="AH109" s="9"/>
      <c r="AI109" s="9"/>
      <c r="AJ109" s="9"/>
    </row>
    <row r="110" spans="1:36">
      <c r="A110" s="9"/>
      <c r="B110" s="9"/>
      <c r="C110" s="9"/>
      <c r="D110" s="9"/>
      <c r="E110" s="9"/>
      <c r="F110" s="9"/>
      <c r="G110" s="9"/>
      <c r="H110" s="9"/>
      <c r="I110" s="9"/>
      <c r="J110" s="9"/>
      <c r="K110" s="9"/>
      <c r="L110" s="9"/>
      <c r="M110" s="9"/>
      <c r="N110" s="9"/>
      <c r="O110" s="9"/>
      <c r="P110" s="9"/>
      <c r="Q110" s="9"/>
      <c r="R110" s="9"/>
      <c r="S110" s="9"/>
      <c r="T110" s="9"/>
      <c r="U110" s="9"/>
      <c r="V110" s="9"/>
      <c r="W110" s="9"/>
      <c r="X110" s="9"/>
      <c r="Y110" s="9"/>
      <c r="Z110" s="9"/>
      <c r="AA110" s="9"/>
      <c r="AB110" s="9"/>
      <c r="AC110" s="9"/>
      <c r="AD110" s="9"/>
      <c r="AE110" s="9"/>
      <c r="AF110" s="9"/>
      <c r="AG110" s="9"/>
      <c r="AH110" s="9"/>
      <c r="AI110" s="9"/>
      <c r="AJ110" s="9"/>
    </row>
    <row r="111" spans="1:36">
      <c r="A111" s="9"/>
      <c r="B111" s="9"/>
      <c r="C111" s="9"/>
      <c r="D111" s="9"/>
      <c r="E111" s="9"/>
      <c r="F111" s="9"/>
      <c r="G111" s="9"/>
      <c r="H111" s="9"/>
      <c r="I111" s="9"/>
      <c r="J111" s="9"/>
      <c r="K111" s="9"/>
      <c r="L111" s="9"/>
      <c r="M111" s="9"/>
      <c r="N111" s="9"/>
      <c r="O111" s="9"/>
      <c r="P111" s="9"/>
      <c r="Q111" s="9"/>
      <c r="R111" s="9"/>
      <c r="S111" s="9"/>
      <c r="T111" s="9"/>
      <c r="U111" s="9"/>
      <c r="V111" s="9"/>
      <c r="W111" s="9"/>
      <c r="X111" s="9"/>
      <c r="Y111" s="9"/>
      <c r="Z111" s="9"/>
      <c r="AA111" s="9"/>
      <c r="AB111" s="9"/>
      <c r="AC111" s="9"/>
      <c r="AD111" s="9"/>
      <c r="AE111" s="9"/>
      <c r="AF111" s="9"/>
      <c r="AG111" s="9"/>
      <c r="AH111" s="9"/>
      <c r="AI111" s="9"/>
      <c r="AJ111" s="9"/>
    </row>
    <row r="112" spans="1:36">
      <c r="A112" s="9"/>
      <c r="B112" s="9"/>
      <c r="C112" s="9"/>
      <c r="D112" s="9"/>
      <c r="E112" s="9"/>
      <c r="F112" s="9"/>
      <c r="G112" s="9"/>
      <c r="H112" s="9"/>
      <c r="I112" s="9"/>
      <c r="J112" s="9"/>
      <c r="K112" s="9"/>
      <c r="L112" s="9"/>
      <c r="M112" s="9"/>
      <c r="N112" s="9"/>
      <c r="O112" s="9"/>
      <c r="P112" s="9"/>
      <c r="Q112" s="9"/>
      <c r="R112" s="9"/>
      <c r="S112" s="9"/>
      <c r="T112" s="9"/>
      <c r="U112" s="9"/>
      <c r="V112" s="9"/>
      <c r="W112" s="9"/>
      <c r="X112" s="9"/>
      <c r="Y112" s="9"/>
      <c r="Z112" s="9"/>
      <c r="AA112" s="9"/>
      <c r="AB112" s="9"/>
      <c r="AC112" s="9"/>
      <c r="AD112" s="9"/>
      <c r="AE112" s="9"/>
      <c r="AF112" s="9"/>
      <c r="AG112" s="9"/>
      <c r="AH112" s="9"/>
      <c r="AI112" s="9"/>
      <c r="AJ112" s="9"/>
    </row>
    <row r="113" spans="1:36">
      <c r="A113" s="9"/>
      <c r="B113" s="9"/>
      <c r="C113" s="9"/>
      <c r="D113" s="9"/>
      <c r="E113" s="9"/>
      <c r="F113" s="9"/>
      <c r="G113" s="9"/>
      <c r="H113" s="9"/>
      <c r="I113" s="9"/>
      <c r="J113" s="9"/>
      <c r="K113" s="9"/>
      <c r="L113" s="9"/>
      <c r="M113" s="9"/>
      <c r="N113" s="9"/>
      <c r="O113" s="9"/>
      <c r="P113" s="9"/>
      <c r="Q113" s="9"/>
      <c r="R113" s="9"/>
      <c r="S113" s="9"/>
      <c r="T113" s="9"/>
      <c r="U113" s="9"/>
      <c r="V113" s="9"/>
      <c r="W113" s="9"/>
      <c r="X113" s="9"/>
      <c r="Y113" s="9"/>
      <c r="Z113" s="9"/>
      <c r="AA113" s="9"/>
      <c r="AB113" s="9"/>
      <c r="AC113" s="9"/>
      <c r="AD113" s="9"/>
      <c r="AE113" s="9"/>
      <c r="AF113" s="9"/>
      <c r="AG113" s="9"/>
      <c r="AH113" s="9"/>
      <c r="AI113" s="9"/>
      <c r="AJ113" s="9"/>
    </row>
    <row r="114" spans="1:36">
      <c r="A114" s="9"/>
      <c r="B114" s="9"/>
      <c r="C114" s="9"/>
      <c r="D114" s="9"/>
      <c r="E114" s="9"/>
      <c r="F114" s="9"/>
      <c r="G114" s="9"/>
      <c r="H114" s="9"/>
      <c r="I114" s="9"/>
      <c r="J114" s="9"/>
      <c r="K114" s="9"/>
      <c r="L114" s="9"/>
      <c r="M114" s="9"/>
      <c r="N114" s="9"/>
      <c r="O114" s="9"/>
      <c r="P114" s="9"/>
      <c r="Q114" s="9"/>
      <c r="R114" s="9"/>
      <c r="S114" s="9"/>
      <c r="T114" s="9"/>
      <c r="U114" s="9"/>
      <c r="V114" s="9"/>
      <c r="W114" s="9"/>
      <c r="X114" s="9"/>
      <c r="Y114" s="9"/>
      <c r="Z114" s="9"/>
      <c r="AA114" s="9"/>
      <c r="AB114" s="9"/>
      <c r="AC114" s="9"/>
      <c r="AD114" s="9"/>
      <c r="AE114" s="9"/>
      <c r="AF114" s="9"/>
      <c r="AG114" s="9"/>
      <c r="AH114" s="9"/>
      <c r="AI114" s="9"/>
      <c r="AJ114" s="9"/>
    </row>
    <row r="115" spans="1:36">
      <c r="A115" s="9"/>
      <c r="B115" s="9"/>
      <c r="C115" s="9"/>
      <c r="D115" s="9"/>
      <c r="E115" s="9"/>
      <c r="F115" s="9"/>
      <c r="G115" s="9"/>
      <c r="H115" s="9"/>
      <c r="I115" s="9"/>
      <c r="J115" s="9"/>
      <c r="K115" s="9"/>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row>
    <row r="116" spans="1:36">
      <c r="A116" s="9"/>
      <c r="B116" s="9"/>
      <c r="C116" s="9"/>
      <c r="D116" s="9"/>
      <c r="E116" s="9"/>
      <c r="F116" s="9"/>
      <c r="G116" s="9"/>
      <c r="H116" s="9"/>
      <c r="I116" s="9"/>
      <c r="J116" s="9"/>
      <c r="K116" s="9"/>
      <c r="L116" s="9"/>
      <c r="M116" s="9"/>
      <c r="N116" s="9"/>
      <c r="O116" s="9"/>
      <c r="P116" s="9"/>
      <c r="Q116" s="9"/>
      <c r="R116" s="9"/>
      <c r="S116" s="9"/>
      <c r="T116" s="9"/>
      <c r="U116" s="9"/>
      <c r="V116" s="9"/>
      <c r="W116" s="9"/>
      <c r="X116" s="9"/>
      <c r="Y116" s="9"/>
      <c r="Z116" s="9"/>
      <c r="AA116" s="9"/>
      <c r="AB116" s="9"/>
      <c r="AC116" s="9"/>
      <c r="AD116" s="9"/>
      <c r="AE116" s="9"/>
      <c r="AF116" s="9"/>
      <c r="AG116" s="9"/>
      <c r="AH116" s="9"/>
      <c r="AI116" s="9"/>
      <c r="AJ116" s="9"/>
    </row>
    <row r="117" spans="1:36">
      <c r="A117" s="9"/>
      <c r="B117" s="9"/>
      <c r="C117" s="9"/>
      <c r="D117" s="9"/>
      <c r="E117" s="9"/>
      <c r="F117" s="9"/>
      <c r="G117" s="9"/>
      <c r="H117" s="9"/>
      <c r="I117" s="9"/>
      <c r="J117" s="9"/>
      <c r="K117" s="9"/>
      <c r="L117" s="9"/>
      <c r="M117" s="9"/>
      <c r="N117" s="9"/>
      <c r="O117" s="9"/>
      <c r="P117" s="9"/>
      <c r="Q117" s="9"/>
      <c r="R117" s="9"/>
      <c r="S117" s="9"/>
      <c r="T117" s="9"/>
      <c r="U117" s="9"/>
      <c r="V117" s="9"/>
      <c r="W117" s="9"/>
      <c r="X117" s="9"/>
      <c r="Y117" s="9"/>
      <c r="Z117" s="9"/>
      <c r="AA117" s="9"/>
      <c r="AB117" s="9"/>
      <c r="AC117" s="9"/>
      <c r="AD117" s="9"/>
      <c r="AE117" s="9"/>
      <c r="AF117" s="9"/>
      <c r="AG117" s="9"/>
      <c r="AH117" s="9"/>
      <c r="AI117" s="9"/>
      <c r="AJ117" s="9"/>
    </row>
    <row r="118" spans="1:36">
      <c r="A118" s="9"/>
      <c r="B118" s="9"/>
      <c r="C118" s="9"/>
      <c r="D118" s="9"/>
      <c r="E118" s="9"/>
      <c r="F118" s="9"/>
      <c r="G118" s="9"/>
      <c r="H118" s="9"/>
      <c r="I118" s="9"/>
      <c r="J118" s="9"/>
      <c r="K118" s="9"/>
      <c r="L118" s="9"/>
      <c r="M118" s="9"/>
      <c r="N118" s="9"/>
      <c r="O118" s="9"/>
      <c r="P118" s="9"/>
      <c r="Q118" s="9"/>
      <c r="R118" s="9"/>
      <c r="S118" s="9"/>
      <c r="T118" s="9"/>
      <c r="U118" s="9"/>
      <c r="V118" s="9"/>
      <c r="W118" s="9"/>
      <c r="X118" s="9"/>
      <c r="Y118" s="9"/>
      <c r="Z118" s="9"/>
      <c r="AA118" s="9"/>
      <c r="AB118" s="9"/>
      <c r="AC118" s="9"/>
      <c r="AD118" s="9"/>
      <c r="AE118" s="9"/>
      <c r="AF118" s="9"/>
      <c r="AG118" s="9"/>
      <c r="AH118" s="9"/>
      <c r="AI118" s="9"/>
      <c r="AJ118" s="9"/>
    </row>
    <row r="119" spans="1:36">
      <c r="A119" s="9"/>
      <c r="B119" s="9"/>
      <c r="C119" s="9"/>
      <c r="D119" s="9"/>
      <c r="E119" s="9"/>
      <c r="F119" s="9"/>
      <c r="G119" s="9"/>
      <c r="H119" s="9"/>
      <c r="I119" s="9"/>
      <c r="J119" s="9"/>
      <c r="K119" s="9"/>
      <c r="L119" s="9"/>
      <c r="M119" s="9"/>
      <c r="N119" s="9"/>
      <c r="O119" s="9"/>
      <c r="P119" s="9"/>
      <c r="Q119" s="9"/>
      <c r="R119" s="9"/>
      <c r="S119" s="9"/>
      <c r="T119" s="9"/>
      <c r="U119" s="9"/>
      <c r="V119" s="9"/>
      <c r="W119" s="9"/>
      <c r="X119" s="9"/>
      <c r="Y119" s="9"/>
      <c r="Z119" s="9"/>
      <c r="AA119" s="9"/>
      <c r="AB119" s="9"/>
      <c r="AC119" s="9"/>
      <c r="AD119" s="9"/>
      <c r="AE119" s="9"/>
      <c r="AF119" s="9"/>
      <c r="AG119" s="9"/>
      <c r="AH119" s="9"/>
      <c r="AI119" s="9"/>
      <c r="AJ119" s="9"/>
    </row>
    <row r="120" spans="1:36">
      <c r="A120" s="9"/>
      <c r="B120" s="9"/>
      <c r="C120" s="9"/>
      <c r="D120" s="9"/>
      <c r="E120" s="9"/>
      <c r="F120" s="9"/>
      <c r="G120" s="9"/>
      <c r="H120" s="9"/>
      <c r="I120" s="9"/>
      <c r="J120" s="9"/>
      <c r="K120" s="9"/>
      <c r="L120" s="9"/>
      <c r="M120" s="9"/>
      <c r="N120" s="9"/>
      <c r="O120" s="9"/>
      <c r="P120" s="9"/>
      <c r="Q120" s="9"/>
      <c r="R120" s="9"/>
      <c r="S120" s="9"/>
      <c r="T120" s="9"/>
      <c r="U120" s="9"/>
      <c r="V120" s="9"/>
      <c r="W120" s="9"/>
      <c r="X120" s="9"/>
      <c r="Y120" s="9"/>
      <c r="Z120" s="9"/>
      <c r="AA120" s="9"/>
      <c r="AB120" s="9"/>
      <c r="AC120" s="9"/>
      <c r="AD120" s="9"/>
      <c r="AE120" s="9"/>
      <c r="AF120" s="9"/>
      <c r="AG120" s="9"/>
      <c r="AH120" s="9"/>
      <c r="AI120" s="9"/>
      <c r="AJ120" s="9"/>
    </row>
    <row r="121" spans="1:36">
      <c r="A121" s="9"/>
      <c r="B121" s="9"/>
      <c r="C121" s="9"/>
      <c r="D121" s="9"/>
      <c r="E121" s="9"/>
      <c r="F121" s="9"/>
      <c r="G121" s="9"/>
      <c r="H121" s="9"/>
      <c r="I121" s="9"/>
      <c r="J121" s="9"/>
      <c r="K121" s="9"/>
      <c r="L121" s="9"/>
      <c r="M121" s="9"/>
      <c r="N121" s="9"/>
      <c r="O121" s="9"/>
      <c r="P121" s="9"/>
      <c r="Q121" s="9"/>
      <c r="R121" s="9"/>
      <c r="S121" s="9"/>
      <c r="T121" s="9"/>
      <c r="U121" s="9"/>
      <c r="V121" s="9"/>
      <c r="W121" s="9"/>
      <c r="X121" s="9"/>
      <c r="Y121" s="9"/>
      <c r="Z121" s="9"/>
      <c r="AA121" s="9"/>
      <c r="AB121" s="9"/>
      <c r="AC121" s="9"/>
      <c r="AD121" s="9"/>
      <c r="AE121" s="9"/>
      <c r="AF121" s="9"/>
      <c r="AG121" s="9"/>
      <c r="AH121" s="9"/>
      <c r="AI121" s="9"/>
      <c r="AJ121" s="9"/>
    </row>
    <row r="122" spans="1:36">
      <c r="A122" s="9"/>
      <c r="B122" s="9"/>
      <c r="C122" s="9"/>
      <c r="D122" s="9"/>
      <c r="E122" s="9"/>
      <c r="F122" s="9"/>
      <c r="G122" s="9"/>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row>
    <row r="123" spans="1:36">
      <c r="A123" s="9"/>
      <c r="B123" s="9"/>
      <c r="C123" s="9"/>
      <c r="D123" s="9"/>
      <c r="E123" s="9"/>
      <c r="F123" s="9"/>
      <c r="G123" s="9"/>
      <c r="H123" s="9"/>
      <c r="I123" s="9"/>
      <c r="J123" s="9"/>
      <c r="K123" s="9"/>
      <c r="L123" s="9"/>
      <c r="M123" s="9"/>
      <c r="N123" s="9"/>
      <c r="O123" s="9"/>
      <c r="P123" s="9"/>
      <c r="Q123" s="9"/>
      <c r="R123" s="9"/>
      <c r="S123" s="9"/>
      <c r="T123" s="9"/>
      <c r="U123" s="9"/>
      <c r="V123" s="9"/>
      <c r="W123" s="9"/>
      <c r="X123" s="9"/>
      <c r="Y123" s="9"/>
      <c r="Z123" s="9"/>
      <c r="AA123" s="9"/>
      <c r="AB123" s="9"/>
      <c r="AC123" s="9"/>
      <c r="AD123" s="9"/>
      <c r="AE123" s="9"/>
      <c r="AF123" s="9"/>
      <c r="AG123" s="9"/>
      <c r="AH123" s="9"/>
      <c r="AI123" s="9"/>
      <c r="AJ123" s="9"/>
    </row>
    <row r="124" spans="1:36">
      <c r="A124" s="9"/>
      <c r="B124" s="9"/>
      <c r="C124" s="9"/>
      <c r="D124" s="9"/>
      <c r="E124" s="9"/>
      <c r="F124" s="9"/>
      <c r="G124" s="9"/>
      <c r="H124" s="9"/>
      <c r="I124" s="9"/>
      <c r="J124" s="9"/>
      <c r="K124" s="9"/>
      <c r="L124" s="9"/>
      <c r="M124" s="9"/>
      <c r="N124" s="9"/>
      <c r="O124" s="9"/>
      <c r="P124" s="9"/>
      <c r="Q124" s="9"/>
      <c r="R124" s="9"/>
      <c r="S124" s="9"/>
      <c r="T124" s="9"/>
      <c r="U124" s="9"/>
      <c r="V124" s="9"/>
      <c r="W124" s="9"/>
      <c r="X124" s="9"/>
      <c r="Y124" s="9"/>
      <c r="Z124" s="9"/>
      <c r="AA124" s="9"/>
      <c r="AB124" s="9"/>
      <c r="AC124" s="9"/>
      <c r="AD124" s="9"/>
      <c r="AE124" s="9"/>
      <c r="AF124" s="9"/>
      <c r="AG124" s="9"/>
      <c r="AH124" s="9"/>
      <c r="AI124" s="9"/>
      <c r="AJ124" s="9"/>
    </row>
    <row r="125" spans="1:36">
      <c r="A125" s="9"/>
      <c r="B125" s="9"/>
      <c r="C125" s="9"/>
      <c r="D125" s="9"/>
      <c r="E125" s="9"/>
      <c r="F125" s="9"/>
      <c r="G125" s="9"/>
      <c r="H125" s="9"/>
      <c r="I125" s="9"/>
      <c r="J125" s="9"/>
      <c r="K125" s="9"/>
      <c r="L125" s="9"/>
      <c r="M125" s="9"/>
      <c r="N125" s="9"/>
      <c r="O125" s="9"/>
      <c r="P125" s="9"/>
      <c r="Q125" s="9"/>
      <c r="R125" s="9"/>
      <c r="S125" s="9"/>
      <c r="T125" s="9"/>
      <c r="U125" s="9"/>
      <c r="V125" s="9"/>
      <c r="W125" s="9"/>
      <c r="X125" s="9"/>
      <c r="Y125" s="9"/>
      <c r="Z125" s="9"/>
      <c r="AA125" s="9"/>
      <c r="AB125" s="9"/>
      <c r="AC125" s="9"/>
      <c r="AD125" s="9"/>
      <c r="AE125" s="9"/>
      <c r="AF125" s="9"/>
      <c r="AG125" s="9"/>
      <c r="AH125" s="9"/>
      <c r="AI125" s="9"/>
      <c r="AJ125" s="9"/>
    </row>
    <row r="126" spans="1:36">
      <c r="A126" s="9"/>
      <c r="B126" s="9"/>
      <c r="C126" s="9"/>
      <c r="D126" s="9"/>
      <c r="E126" s="9"/>
      <c r="F126" s="9"/>
      <c r="G126" s="9"/>
      <c r="H126" s="9"/>
      <c r="I126" s="9"/>
      <c r="J126" s="9"/>
      <c r="K126" s="9"/>
      <c r="L126" s="9"/>
      <c r="M126" s="9"/>
      <c r="N126" s="9"/>
      <c r="O126" s="9"/>
      <c r="P126" s="9"/>
      <c r="Q126" s="9"/>
      <c r="R126" s="9"/>
      <c r="S126" s="9"/>
      <c r="T126" s="9"/>
      <c r="U126" s="9"/>
      <c r="V126" s="9"/>
      <c r="W126" s="9"/>
      <c r="X126" s="9"/>
      <c r="Y126" s="9"/>
      <c r="Z126" s="9"/>
      <c r="AA126" s="9"/>
      <c r="AB126" s="9"/>
      <c r="AC126" s="9"/>
      <c r="AD126" s="9"/>
      <c r="AE126" s="9"/>
      <c r="AF126" s="9"/>
      <c r="AG126" s="9"/>
      <c r="AH126" s="9"/>
      <c r="AI126" s="9"/>
      <c r="AJ126" s="9"/>
    </row>
    <row r="127" spans="1:36">
      <c r="A127" s="9"/>
      <c r="B127" s="9"/>
      <c r="C127" s="9"/>
      <c r="D127" s="9"/>
      <c r="E127" s="9"/>
      <c r="F127" s="9"/>
      <c r="G127" s="9"/>
      <c r="H127" s="9"/>
      <c r="I127" s="9"/>
      <c r="J127" s="9"/>
      <c r="K127" s="9"/>
      <c r="L127" s="9"/>
      <c r="M127" s="9"/>
      <c r="N127" s="9"/>
      <c r="O127" s="9"/>
      <c r="P127" s="9"/>
      <c r="Q127" s="9"/>
      <c r="R127" s="9"/>
      <c r="S127" s="9"/>
      <c r="T127" s="9"/>
      <c r="U127" s="9"/>
      <c r="V127" s="9"/>
      <c r="W127" s="9"/>
      <c r="X127" s="9"/>
      <c r="Y127" s="9"/>
      <c r="Z127" s="9"/>
      <c r="AA127" s="9"/>
      <c r="AB127" s="9"/>
      <c r="AC127" s="9"/>
      <c r="AD127" s="9"/>
      <c r="AE127" s="9"/>
      <c r="AF127" s="9"/>
      <c r="AG127" s="9"/>
      <c r="AH127" s="9"/>
      <c r="AI127" s="9"/>
      <c r="AJ127" s="9"/>
    </row>
    <row r="128" spans="1:36">
      <c r="A128" s="9"/>
      <c r="B128" s="9"/>
      <c r="C128" s="9"/>
      <c r="D128" s="9"/>
      <c r="E128" s="9"/>
      <c r="F128" s="9"/>
      <c r="G128" s="9"/>
      <c r="H128" s="9"/>
      <c r="I128" s="9"/>
      <c r="J128" s="9"/>
      <c r="K128" s="9"/>
      <c r="L128" s="9"/>
      <c r="M128" s="9"/>
      <c r="N128" s="9"/>
      <c r="O128" s="9"/>
      <c r="P128" s="9"/>
      <c r="Q128" s="9"/>
      <c r="R128" s="9"/>
      <c r="S128" s="9"/>
      <c r="T128" s="9"/>
      <c r="U128" s="9"/>
      <c r="V128" s="9"/>
      <c r="W128" s="9"/>
      <c r="X128" s="9"/>
      <c r="Y128" s="9"/>
      <c r="Z128" s="9"/>
      <c r="AA128" s="9"/>
      <c r="AB128" s="9"/>
      <c r="AC128" s="9"/>
      <c r="AD128" s="9"/>
      <c r="AE128" s="9"/>
      <c r="AF128" s="9"/>
      <c r="AG128" s="9"/>
      <c r="AH128" s="9"/>
      <c r="AI128" s="9"/>
      <c r="AJ128" s="9"/>
    </row>
    <row r="129" spans="1:36">
      <c r="A129" s="9"/>
      <c r="B129" s="9"/>
      <c r="C129" s="9"/>
      <c r="D129" s="9"/>
      <c r="E129" s="9"/>
      <c r="F129" s="9"/>
      <c r="G129" s="9"/>
      <c r="H129" s="9"/>
      <c r="I129" s="9"/>
      <c r="J129" s="9"/>
      <c r="K129" s="9"/>
      <c r="L129" s="9"/>
      <c r="M129" s="9"/>
      <c r="N129" s="9"/>
      <c r="O129" s="9"/>
      <c r="P129" s="9"/>
      <c r="Q129" s="9"/>
      <c r="R129" s="9"/>
      <c r="S129" s="9"/>
      <c r="T129" s="9"/>
      <c r="U129" s="9"/>
      <c r="V129" s="9"/>
      <c r="W129" s="9"/>
      <c r="X129" s="9"/>
      <c r="Y129" s="9"/>
      <c r="Z129" s="9"/>
      <c r="AA129" s="9"/>
      <c r="AB129" s="9"/>
      <c r="AC129" s="9"/>
      <c r="AD129" s="9"/>
      <c r="AE129" s="9"/>
      <c r="AF129" s="9"/>
      <c r="AG129" s="9"/>
      <c r="AH129" s="9"/>
      <c r="AI129" s="9"/>
      <c r="AJ129" s="9"/>
    </row>
    <row r="130" spans="1:36">
      <c r="A130" s="9"/>
      <c r="B130" s="9"/>
      <c r="C130" s="9"/>
      <c r="D130" s="9"/>
      <c r="E130" s="9"/>
      <c r="F130" s="9"/>
      <c r="G130" s="9"/>
      <c r="H130" s="9"/>
      <c r="I130" s="9"/>
      <c r="J130" s="9"/>
      <c r="K130" s="9"/>
      <c r="L130" s="9"/>
      <c r="M130" s="9"/>
      <c r="N130" s="9"/>
      <c r="O130" s="9"/>
      <c r="P130" s="9"/>
      <c r="Q130" s="9"/>
      <c r="R130" s="9"/>
      <c r="S130" s="9"/>
      <c r="T130" s="9"/>
      <c r="U130" s="9"/>
      <c r="V130" s="9"/>
      <c r="W130" s="9"/>
      <c r="X130" s="9"/>
      <c r="Y130" s="9"/>
      <c r="Z130" s="9"/>
      <c r="AA130" s="9"/>
      <c r="AB130" s="9"/>
      <c r="AC130" s="9"/>
      <c r="AD130" s="9"/>
      <c r="AE130" s="9"/>
      <c r="AF130" s="9"/>
      <c r="AG130" s="9"/>
      <c r="AH130" s="9"/>
      <c r="AI130" s="9"/>
      <c r="AJ130" s="9"/>
    </row>
    <row r="131" spans="1:36">
      <c r="A131" s="9"/>
      <c r="B131" s="9"/>
      <c r="C131" s="9"/>
      <c r="D131" s="9"/>
      <c r="E131" s="9"/>
      <c r="F131" s="9"/>
      <c r="G131" s="9"/>
      <c r="H131" s="9"/>
      <c r="I131" s="9"/>
      <c r="J131" s="9"/>
      <c r="K131" s="9"/>
      <c r="L131" s="9"/>
      <c r="M131" s="9"/>
      <c r="N131" s="9"/>
      <c r="O131" s="9"/>
      <c r="P131" s="9"/>
      <c r="Q131" s="9"/>
      <c r="R131" s="9"/>
      <c r="S131" s="9"/>
      <c r="T131" s="9"/>
      <c r="U131" s="9"/>
      <c r="V131" s="9"/>
      <c r="W131" s="9"/>
      <c r="X131" s="9"/>
      <c r="Y131" s="9"/>
      <c r="Z131" s="9"/>
      <c r="AA131" s="9"/>
      <c r="AB131" s="9"/>
      <c r="AC131" s="9"/>
      <c r="AD131" s="9"/>
      <c r="AE131" s="9"/>
      <c r="AF131" s="9"/>
      <c r="AG131" s="9"/>
      <c r="AH131" s="9"/>
      <c r="AI131" s="9"/>
      <c r="AJ131" s="9"/>
    </row>
    <row r="132" spans="1:36">
      <c r="A132" s="9"/>
      <c r="B132" s="9"/>
      <c r="C132" s="9"/>
      <c r="D132" s="9"/>
      <c r="E132" s="9"/>
      <c r="F132" s="9"/>
      <c r="G132" s="9"/>
      <c r="H132" s="9"/>
      <c r="I132" s="9"/>
      <c r="J132" s="9"/>
      <c r="K132" s="9"/>
      <c r="L132" s="9"/>
      <c r="M132" s="9"/>
      <c r="N132" s="9"/>
      <c r="O132" s="9"/>
      <c r="P132" s="9"/>
      <c r="Q132" s="9"/>
      <c r="R132" s="9"/>
      <c r="S132" s="9"/>
      <c r="T132" s="9"/>
      <c r="U132" s="9"/>
      <c r="V132" s="9"/>
      <c r="W132" s="9"/>
      <c r="X132" s="9"/>
      <c r="Y132" s="9"/>
      <c r="Z132" s="9"/>
      <c r="AA132" s="9"/>
      <c r="AB132" s="9"/>
      <c r="AC132" s="9"/>
      <c r="AD132" s="9"/>
      <c r="AE132" s="9"/>
      <c r="AF132" s="9"/>
      <c r="AG132" s="9"/>
      <c r="AH132" s="9"/>
      <c r="AI132" s="9"/>
      <c r="AJ132" s="9"/>
    </row>
    <row r="133" spans="1:36">
      <c r="A133" s="9"/>
      <c r="B133" s="9"/>
      <c r="C133" s="9"/>
      <c r="D133" s="9"/>
      <c r="E133" s="9"/>
      <c r="F133" s="9"/>
      <c r="G133" s="9"/>
      <c r="H133" s="9"/>
      <c r="I133" s="9"/>
      <c r="J133" s="9"/>
      <c r="K133" s="9"/>
      <c r="L133" s="9"/>
      <c r="M133" s="9"/>
      <c r="N133" s="9"/>
      <c r="O133" s="9"/>
      <c r="P133" s="9"/>
      <c r="Q133" s="9"/>
      <c r="R133" s="9"/>
      <c r="S133" s="9"/>
      <c r="T133" s="9"/>
      <c r="U133" s="9"/>
      <c r="V133" s="9"/>
      <c r="W133" s="9"/>
      <c r="X133" s="9"/>
      <c r="Y133" s="9"/>
      <c r="Z133" s="9"/>
      <c r="AA133" s="9"/>
      <c r="AB133" s="9"/>
      <c r="AC133" s="9"/>
      <c r="AD133" s="9"/>
      <c r="AE133" s="9"/>
      <c r="AF133" s="9"/>
      <c r="AG133" s="9"/>
      <c r="AH133" s="9"/>
      <c r="AI133" s="9"/>
      <c r="AJ133" s="9"/>
    </row>
    <row r="134" spans="1:36">
      <c r="A134" s="9"/>
      <c r="B134" s="9"/>
      <c r="C134" s="9"/>
      <c r="D134" s="9"/>
      <c r="E134" s="9"/>
      <c r="F134" s="9"/>
      <c r="G134" s="9"/>
      <c r="H134" s="9"/>
      <c r="I134" s="9"/>
      <c r="J134" s="9"/>
      <c r="K134" s="9"/>
      <c r="L134" s="9"/>
      <c r="M134" s="9"/>
      <c r="N134" s="9"/>
      <c r="O134" s="9"/>
      <c r="P134" s="9"/>
      <c r="Q134" s="9"/>
      <c r="R134" s="9"/>
      <c r="S134" s="9"/>
      <c r="T134" s="9"/>
      <c r="U134" s="9"/>
      <c r="V134" s="9"/>
      <c r="W134" s="9"/>
      <c r="X134" s="9"/>
      <c r="Y134" s="9"/>
      <c r="Z134" s="9"/>
      <c r="AA134" s="9"/>
      <c r="AB134" s="9"/>
      <c r="AC134" s="9"/>
      <c r="AD134" s="9"/>
      <c r="AE134" s="9"/>
      <c r="AF134" s="9"/>
      <c r="AG134" s="9"/>
      <c r="AH134" s="9"/>
      <c r="AI134" s="9"/>
      <c r="AJ134" s="9"/>
    </row>
    <row r="135" spans="1:36">
      <c r="A135" s="9"/>
      <c r="B135" s="9"/>
      <c r="C135" s="9"/>
      <c r="D135" s="9"/>
      <c r="E135" s="9"/>
      <c r="F135" s="9"/>
      <c r="G135" s="9"/>
      <c r="H135" s="9"/>
      <c r="I135" s="9"/>
      <c r="J135" s="9"/>
      <c r="K135" s="9"/>
      <c r="L135" s="9"/>
      <c r="M135" s="9"/>
      <c r="N135" s="9"/>
      <c r="O135" s="9"/>
      <c r="P135" s="9"/>
      <c r="Q135" s="9"/>
      <c r="R135" s="9"/>
      <c r="S135" s="9"/>
      <c r="T135" s="9"/>
      <c r="U135" s="9"/>
      <c r="V135" s="9"/>
      <c r="W135" s="9"/>
      <c r="X135" s="9"/>
      <c r="Y135" s="9"/>
      <c r="Z135" s="9"/>
      <c r="AA135" s="9"/>
      <c r="AB135" s="9"/>
      <c r="AC135" s="9"/>
      <c r="AD135" s="9"/>
      <c r="AE135" s="9"/>
      <c r="AF135" s="9"/>
      <c r="AG135" s="9"/>
      <c r="AH135" s="9"/>
      <c r="AI135" s="9"/>
      <c r="AJ135" s="9"/>
    </row>
    <row r="136" spans="1:36">
      <c r="A136" s="9"/>
      <c r="B136" s="9"/>
      <c r="C136" s="9"/>
      <c r="D136" s="9"/>
      <c r="E136" s="9"/>
      <c r="F136" s="9"/>
      <c r="G136" s="9"/>
      <c r="H136" s="9"/>
      <c r="I136" s="9"/>
      <c r="J136" s="9"/>
      <c r="K136" s="9"/>
      <c r="L136" s="9"/>
      <c r="M136" s="9"/>
      <c r="N136" s="9"/>
      <c r="O136" s="9"/>
      <c r="P136" s="9"/>
      <c r="Q136" s="9"/>
      <c r="R136" s="9"/>
      <c r="S136" s="9"/>
      <c r="T136" s="9"/>
      <c r="U136" s="9"/>
      <c r="V136" s="9"/>
      <c r="W136" s="9"/>
      <c r="X136" s="9"/>
      <c r="Y136" s="9"/>
      <c r="Z136" s="9"/>
      <c r="AA136" s="9"/>
      <c r="AB136" s="9"/>
      <c r="AC136" s="9"/>
      <c r="AD136" s="9"/>
      <c r="AE136" s="9"/>
      <c r="AF136" s="9"/>
      <c r="AG136" s="9"/>
      <c r="AH136" s="9"/>
      <c r="AI136" s="9"/>
      <c r="AJ136" s="9"/>
    </row>
    <row r="137" spans="1:36">
      <c r="A137" s="9"/>
      <c r="B137" s="9"/>
      <c r="C137" s="9"/>
      <c r="D137" s="9"/>
      <c r="E137" s="9"/>
      <c r="F137" s="9"/>
      <c r="G137" s="9"/>
      <c r="H137" s="9"/>
      <c r="I137" s="9"/>
      <c r="J137" s="9"/>
      <c r="K137" s="9"/>
      <c r="L137" s="9"/>
      <c r="M137" s="9"/>
      <c r="N137" s="9"/>
      <c r="O137" s="9"/>
      <c r="P137" s="9"/>
      <c r="Q137" s="9"/>
      <c r="R137" s="9"/>
      <c r="S137" s="9"/>
      <c r="T137" s="9"/>
      <c r="U137" s="9"/>
      <c r="V137" s="9"/>
      <c r="W137" s="9"/>
      <c r="X137" s="9"/>
      <c r="Y137" s="9"/>
      <c r="Z137" s="9"/>
      <c r="AA137" s="9"/>
      <c r="AB137" s="9"/>
      <c r="AC137" s="9"/>
      <c r="AD137" s="9"/>
      <c r="AE137" s="9"/>
      <c r="AF137" s="9"/>
      <c r="AG137" s="9"/>
      <c r="AH137" s="9"/>
      <c r="AI137" s="9"/>
      <c r="AJ137" s="9"/>
    </row>
    <row r="138" spans="1:36">
      <c r="A138" s="9"/>
      <c r="B138" s="9"/>
      <c r="C138" s="9"/>
      <c r="D138" s="9"/>
      <c r="E138" s="9"/>
      <c r="F138" s="9"/>
      <c r="G138" s="9"/>
      <c r="H138" s="9"/>
      <c r="I138" s="9"/>
      <c r="J138" s="9"/>
      <c r="K138" s="9"/>
      <c r="L138" s="9"/>
      <c r="M138" s="9"/>
      <c r="N138" s="9"/>
      <c r="O138" s="9"/>
      <c r="P138" s="9"/>
      <c r="Q138" s="9"/>
      <c r="R138" s="9"/>
      <c r="S138" s="9"/>
      <c r="T138" s="9"/>
      <c r="U138" s="9"/>
      <c r="V138" s="9"/>
      <c r="W138" s="9"/>
      <c r="X138" s="9"/>
      <c r="Y138" s="9"/>
      <c r="Z138" s="9"/>
      <c r="AA138" s="9"/>
      <c r="AB138" s="9"/>
      <c r="AC138" s="9"/>
      <c r="AD138" s="9"/>
      <c r="AE138" s="9"/>
      <c r="AF138" s="9"/>
      <c r="AG138" s="9"/>
      <c r="AH138" s="9"/>
      <c r="AI138" s="9"/>
      <c r="AJ138" s="9"/>
    </row>
    <row r="139" spans="1:36">
      <c r="A139" s="9"/>
      <c r="B139" s="9"/>
      <c r="C139" s="9"/>
      <c r="D139" s="9"/>
      <c r="E139" s="9"/>
      <c r="F139" s="9"/>
      <c r="G139" s="9"/>
      <c r="H139" s="9"/>
      <c r="I139" s="9"/>
      <c r="J139" s="9"/>
      <c r="K139" s="9"/>
      <c r="L139" s="9"/>
      <c r="M139" s="9"/>
      <c r="N139" s="9"/>
      <c r="O139" s="9"/>
      <c r="P139" s="9"/>
      <c r="Q139" s="9"/>
      <c r="R139" s="9"/>
      <c r="S139" s="9"/>
      <c r="T139" s="9"/>
      <c r="U139" s="9"/>
      <c r="V139" s="9"/>
      <c r="W139" s="9"/>
      <c r="X139" s="9"/>
      <c r="Y139" s="9"/>
      <c r="Z139" s="9"/>
      <c r="AA139" s="9"/>
      <c r="AB139" s="9"/>
      <c r="AC139" s="9"/>
      <c r="AD139" s="9"/>
      <c r="AE139" s="9"/>
      <c r="AF139" s="9"/>
      <c r="AG139" s="9"/>
      <c r="AH139" s="9"/>
      <c r="AI139" s="9"/>
      <c r="AJ139" s="9"/>
    </row>
    <row r="140" spans="1:36">
      <c r="A140" s="9"/>
      <c r="B140" s="9"/>
      <c r="C140" s="9"/>
      <c r="D140" s="9"/>
      <c r="E140" s="9"/>
      <c r="F140" s="9"/>
      <c r="G140" s="9"/>
      <c r="H140" s="9"/>
      <c r="I140" s="9"/>
      <c r="J140" s="9"/>
      <c r="K140" s="9"/>
      <c r="L140" s="9"/>
      <c r="M140" s="9"/>
      <c r="N140" s="9"/>
      <c r="O140" s="9"/>
      <c r="P140" s="9"/>
      <c r="Q140" s="9"/>
      <c r="R140" s="9"/>
      <c r="S140" s="9"/>
      <c r="T140" s="9"/>
      <c r="U140" s="9"/>
      <c r="V140" s="9"/>
      <c r="W140" s="9"/>
      <c r="X140" s="9"/>
      <c r="Y140" s="9"/>
      <c r="Z140" s="9"/>
      <c r="AA140" s="9"/>
      <c r="AB140" s="9"/>
      <c r="AC140" s="9"/>
      <c r="AD140" s="9"/>
      <c r="AE140" s="9"/>
      <c r="AF140" s="9"/>
      <c r="AG140" s="9"/>
      <c r="AH140" s="9"/>
      <c r="AI140" s="9"/>
      <c r="AJ140" s="9"/>
    </row>
    <row r="141" spans="1:36">
      <c r="A141" s="9"/>
      <c r="B141" s="9"/>
      <c r="C141" s="9"/>
      <c r="D141" s="9"/>
      <c r="E141" s="9"/>
      <c r="F141" s="9"/>
      <c r="G141" s="9"/>
      <c r="H141" s="9"/>
      <c r="I141" s="9"/>
      <c r="J141" s="9"/>
      <c r="K141" s="9"/>
      <c r="L141" s="9"/>
      <c r="M141" s="9"/>
      <c r="N141" s="9"/>
      <c r="O141" s="9"/>
      <c r="P141" s="9"/>
      <c r="Q141" s="9"/>
      <c r="R141" s="9"/>
      <c r="S141" s="9"/>
      <c r="T141" s="9"/>
      <c r="U141" s="9"/>
      <c r="V141" s="9"/>
      <c r="W141" s="9"/>
      <c r="X141" s="9"/>
      <c r="Y141" s="9"/>
      <c r="Z141" s="9"/>
      <c r="AA141" s="9"/>
      <c r="AB141" s="9"/>
      <c r="AC141" s="9"/>
      <c r="AD141" s="9"/>
      <c r="AE141" s="9"/>
      <c r="AF141" s="9"/>
      <c r="AG141" s="9"/>
      <c r="AH141" s="9"/>
      <c r="AI141" s="9"/>
      <c r="AJ141" s="9"/>
    </row>
    <row r="142" spans="1:36">
      <c r="A142" s="9"/>
      <c r="B142" s="9"/>
      <c r="C142" s="9"/>
      <c r="D142" s="9"/>
      <c r="E142" s="9"/>
      <c r="F142" s="9"/>
      <c r="G142" s="9"/>
      <c r="H142" s="9"/>
      <c r="I142" s="9"/>
      <c r="J142" s="9"/>
      <c r="K142" s="9"/>
      <c r="L142" s="9"/>
      <c r="M142" s="9"/>
      <c r="N142" s="9"/>
      <c r="O142" s="9"/>
      <c r="P142" s="9"/>
      <c r="Q142" s="9"/>
      <c r="R142" s="9"/>
      <c r="S142" s="9"/>
      <c r="T142" s="9"/>
      <c r="U142" s="9"/>
      <c r="V142" s="9"/>
      <c r="W142" s="9"/>
      <c r="X142" s="9"/>
      <c r="Y142" s="9"/>
      <c r="Z142" s="9"/>
      <c r="AA142" s="9"/>
      <c r="AB142" s="9"/>
      <c r="AC142" s="9"/>
      <c r="AD142" s="9"/>
      <c r="AE142" s="9"/>
      <c r="AF142" s="9"/>
      <c r="AG142" s="9"/>
      <c r="AH142" s="9"/>
      <c r="AI142" s="9"/>
      <c r="AJ142" s="9"/>
    </row>
    <row r="143" spans="1:36">
      <c r="A143" s="9"/>
      <c r="B143" s="9"/>
      <c r="C143" s="9"/>
      <c r="D143" s="9"/>
      <c r="E143" s="9"/>
      <c r="F143" s="9"/>
      <c r="G143" s="9"/>
      <c r="H143" s="9"/>
      <c r="I143" s="9"/>
      <c r="J143" s="9"/>
      <c r="K143" s="9"/>
      <c r="L143" s="9"/>
      <c r="M143" s="9"/>
      <c r="N143" s="9"/>
      <c r="O143" s="9"/>
      <c r="P143" s="9"/>
      <c r="Q143" s="9"/>
      <c r="R143" s="9"/>
      <c r="S143" s="9"/>
      <c r="T143" s="9"/>
      <c r="U143" s="9"/>
      <c r="V143" s="9"/>
      <c r="W143" s="9"/>
      <c r="X143" s="9"/>
      <c r="Y143" s="9"/>
      <c r="Z143" s="9"/>
      <c r="AA143" s="9"/>
      <c r="AB143" s="9"/>
      <c r="AC143" s="9"/>
      <c r="AD143" s="9"/>
      <c r="AE143" s="9"/>
      <c r="AF143" s="9"/>
      <c r="AG143" s="9"/>
      <c r="AH143" s="9"/>
      <c r="AI143" s="9"/>
      <c r="AJ143" s="9"/>
    </row>
    <row r="144" spans="1:36">
      <c r="A144" s="9"/>
      <c r="B144" s="9"/>
      <c r="C144" s="9"/>
      <c r="D144" s="9"/>
      <c r="E144" s="9"/>
      <c r="F144" s="9"/>
      <c r="G144" s="9"/>
      <c r="H144" s="9"/>
      <c r="I144" s="9"/>
      <c r="J144" s="9"/>
      <c r="K144" s="9"/>
      <c r="L144" s="9"/>
      <c r="M144" s="9"/>
      <c r="N144" s="9"/>
      <c r="O144" s="9"/>
      <c r="P144" s="9"/>
      <c r="Q144" s="9"/>
      <c r="R144" s="9"/>
      <c r="S144" s="9"/>
      <c r="T144" s="9"/>
      <c r="U144" s="9"/>
      <c r="V144" s="9"/>
      <c r="W144" s="9"/>
      <c r="X144" s="9"/>
      <c r="Y144" s="9"/>
      <c r="Z144" s="9"/>
      <c r="AA144" s="9"/>
      <c r="AB144" s="9"/>
      <c r="AC144" s="9"/>
      <c r="AD144" s="9"/>
      <c r="AE144" s="9"/>
      <c r="AF144" s="9"/>
      <c r="AG144" s="9"/>
      <c r="AH144" s="9"/>
      <c r="AI144" s="9"/>
      <c r="AJ144" s="9"/>
    </row>
    <row r="145" spans="1:36">
      <c r="A145" s="9"/>
      <c r="B145" s="9"/>
      <c r="C145" s="9"/>
      <c r="D145" s="9"/>
      <c r="E145" s="9"/>
      <c r="F145" s="9"/>
      <c r="G145" s="9"/>
      <c r="H145" s="9"/>
      <c r="I145" s="9"/>
      <c r="J145" s="9"/>
      <c r="K145" s="9"/>
      <c r="L145" s="9"/>
      <c r="M145" s="9"/>
      <c r="N145" s="9"/>
      <c r="O145" s="9"/>
      <c r="P145" s="9"/>
      <c r="Q145" s="9"/>
      <c r="R145" s="9"/>
      <c r="S145" s="9"/>
      <c r="T145" s="9"/>
      <c r="U145" s="9"/>
      <c r="V145" s="9"/>
      <c r="W145" s="9"/>
      <c r="X145" s="9"/>
      <c r="Y145" s="9"/>
      <c r="Z145" s="9"/>
      <c r="AA145" s="9"/>
      <c r="AB145" s="9"/>
      <c r="AC145" s="9"/>
      <c r="AD145" s="9"/>
      <c r="AE145" s="9"/>
      <c r="AF145" s="9"/>
      <c r="AG145" s="9"/>
      <c r="AH145" s="9"/>
      <c r="AI145" s="9"/>
      <c r="AJ145" s="9"/>
    </row>
    <row r="146" spans="1:36">
      <c r="A146" s="9"/>
      <c r="B146" s="9"/>
      <c r="C146" s="9"/>
      <c r="D146" s="9"/>
      <c r="E146" s="9"/>
      <c r="F146" s="9"/>
      <c r="G146" s="9"/>
      <c r="H146" s="9"/>
      <c r="I146" s="9"/>
      <c r="J146" s="9"/>
      <c r="K146" s="9"/>
      <c r="L146" s="9"/>
      <c r="M146" s="9"/>
      <c r="N146" s="9"/>
      <c r="O146" s="9"/>
      <c r="P146" s="9"/>
      <c r="Q146" s="9"/>
      <c r="R146" s="9"/>
      <c r="S146" s="9"/>
      <c r="T146" s="9"/>
      <c r="U146" s="9"/>
      <c r="V146" s="9"/>
      <c r="W146" s="9"/>
      <c r="X146" s="9"/>
      <c r="Y146" s="9"/>
      <c r="Z146" s="9"/>
      <c r="AA146" s="9"/>
      <c r="AB146" s="9"/>
      <c r="AC146" s="9"/>
      <c r="AD146" s="9"/>
      <c r="AE146" s="9"/>
      <c r="AF146" s="9"/>
      <c r="AG146" s="9"/>
      <c r="AH146" s="9"/>
      <c r="AI146" s="9"/>
      <c r="AJ146" s="9"/>
    </row>
    <row r="147" spans="1:36">
      <c r="A147" s="9"/>
      <c r="B147" s="9"/>
      <c r="C147" s="9"/>
      <c r="D147" s="9"/>
      <c r="E147" s="9"/>
      <c r="F147" s="9"/>
      <c r="G147" s="9"/>
      <c r="H147" s="9"/>
      <c r="I147" s="9"/>
      <c r="J147" s="9"/>
      <c r="K147" s="9"/>
      <c r="L147" s="9"/>
      <c r="M147" s="9"/>
      <c r="N147" s="9"/>
      <c r="O147" s="9"/>
      <c r="P147" s="9"/>
      <c r="Q147" s="9"/>
      <c r="R147" s="9"/>
      <c r="S147" s="9"/>
      <c r="T147" s="9"/>
      <c r="U147" s="9"/>
      <c r="V147" s="9"/>
      <c r="W147" s="9"/>
      <c r="X147" s="9"/>
      <c r="Y147" s="9"/>
      <c r="Z147" s="9"/>
      <c r="AA147" s="9"/>
      <c r="AB147" s="9"/>
      <c r="AC147" s="9"/>
      <c r="AD147" s="9"/>
      <c r="AE147" s="9"/>
      <c r="AF147" s="9"/>
      <c r="AG147" s="9"/>
      <c r="AH147" s="9"/>
      <c r="AI147" s="9"/>
      <c r="AJ147" s="9"/>
    </row>
    <row r="148" spans="1:36">
      <c r="A148" s="9"/>
      <c r="B148" s="9"/>
      <c r="C148" s="9"/>
      <c r="D148" s="9"/>
      <c r="E148" s="9"/>
      <c r="F148" s="9"/>
      <c r="G148" s="9"/>
      <c r="H148" s="9"/>
      <c r="I148" s="9"/>
      <c r="J148" s="9"/>
      <c r="K148" s="9"/>
      <c r="L148" s="9"/>
      <c r="M148" s="9"/>
      <c r="N148" s="9"/>
      <c r="O148" s="9"/>
      <c r="P148" s="9"/>
      <c r="Q148" s="9"/>
      <c r="R148" s="9"/>
      <c r="S148" s="9"/>
      <c r="T148" s="9"/>
      <c r="U148" s="9"/>
      <c r="V148" s="9"/>
      <c r="W148" s="9"/>
      <c r="X148" s="9"/>
      <c r="Y148" s="9"/>
      <c r="Z148" s="9"/>
      <c r="AA148" s="9"/>
      <c r="AB148" s="9"/>
      <c r="AC148" s="9"/>
      <c r="AD148" s="9"/>
      <c r="AE148" s="9"/>
      <c r="AF148" s="9"/>
      <c r="AG148" s="9"/>
      <c r="AH148" s="9"/>
      <c r="AI148" s="9"/>
      <c r="AJ148" s="9"/>
    </row>
    <row r="149" spans="1:36">
      <c r="A149" s="9"/>
      <c r="B149" s="9"/>
      <c r="C149" s="9"/>
      <c r="D149" s="9"/>
      <c r="E149" s="9"/>
      <c r="F149" s="9"/>
      <c r="G149" s="9"/>
      <c r="H149" s="9"/>
      <c r="I149" s="9"/>
      <c r="J149" s="9"/>
      <c r="K149" s="9"/>
      <c r="L149" s="9"/>
      <c r="M149" s="9"/>
      <c r="N149" s="9"/>
      <c r="O149" s="9"/>
      <c r="P149" s="9"/>
      <c r="Q149" s="9"/>
      <c r="R149" s="9"/>
      <c r="S149" s="9"/>
      <c r="T149" s="9"/>
      <c r="U149" s="9"/>
      <c r="V149" s="9"/>
      <c r="W149" s="9"/>
      <c r="X149" s="9"/>
      <c r="Y149" s="9"/>
      <c r="Z149" s="9"/>
      <c r="AA149" s="9"/>
      <c r="AB149" s="9"/>
      <c r="AC149" s="9"/>
      <c r="AD149" s="9"/>
      <c r="AE149" s="9"/>
      <c r="AF149" s="9"/>
      <c r="AG149" s="9"/>
      <c r="AH149" s="9"/>
      <c r="AI149" s="9"/>
      <c r="AJ149" s="9"/>
    </row>
    <row r="150" spans="1:36">
      <c r="A150" s="9"/>
      <c r="B150" s="9"/>
      <c r="C150" s="9"/>
      <c r="D150" s="9"/>
      <c r="E150" s="9"/>
      <c r="F150" s="9"/>
      <c r="G150" s="9"/>
      <c r="H150" s="9"/>
      <c r="I150" s="9"/>
      <c r="J150" s="9"/>
      <c r="K150" s="9"/>
      <c r="L150" s="9"/>
      <c r="M150" s="9"/>
      <c r="N150" s="9"/>
      <c r="O150" s="9"/>
      <c r="P150" s="9"/>
      <c r="Q150" s="9"/>
      <c r="R150" s="9"/>
      <c r="S150" s="9"/>
      <c r="T150" s="9"/>
      <c r="U150" s="9"/>
      <c r="V150" s="9"/>
      <c r="W150" s="9"/>
      <c r="X150" s="9"/>
      <c r="Y150" s="9"/>
      <c r="Z150" s="9"/>
      <c r="AA150" s="9"/>
      <c r="AB150" s="9"/>
      <c r="AC150" s="9"/>
      <c r="AD150" s="9"/>
      <c r="AE150" s="9"/>
      <c r="AF150" s="9"/>
      <c r="AG150" s="9"/>
      <c r="AH150" s="9"/>
      <c r="AI150" s="9"/>
      <c r="AJ150" s="9"/>
    </row>
    <row r="151" spans="1:36">
      <c r="A151" s="9"/>
      <c r="B151" s="9"/>
      <c r="C151" s="9"/>
      <c r="D151" s="9"/>
      <c r="E151" s="9"/>
      <c r="F151" s="9"/>
      <c r="G151" s="9"/>
      <c r="H151" s="9"/>
      <c r="I151" s="9"/>
      <c r="J151" s="9"/>
      <c r="K151" s="9"/>
      <c r="L151" s="9"/>
      <c r="M151" s="9"/>
      <c r="N151" s="9"/>
      <c r="O151" s="9"/>
      <c r="P151" s="9"/>
      <c r="Q151" s="9"/>
      <c r="R151" s="9"/>
      <c r="S151" s="9"/>
      <c r="T151" s="9"/>
      <c r="U151" s="9"/>
      <c r="V151" s="9"/>
      <c r="W151" s="9"/>
      <c r="X151" s="9"/>
      <c r="Y151" s="9"/>
      <c r="Z151" s="9"/>
      <c r="AA151" s="9"/>
      <c r="AB151" s="9"/>
      <c r="AC151" s="9"/>
      <c r="AD151" s="9"/>
      <c r="AE151" s="9"/>
      <c r="AF151" s="9"/>
      <c r="AG151" s="9"/>
      <c r="AH151" s="9"/>
      <c r="AI151" s="9"/>
      <c r="AJ151" s="9"/>
    </row>
    <row r="152" spans="1:36">
      <c r="A152" s="9"/>
      <c r="B152" s="9"/>
      <c r="C152" s="9"/>
      <c r="D152" s="9"/>
      <c r="E152" s="9"/>
      <c r="F152" s="9"/>
      <c r="G152" s="9"/>
      <c r="H152" s="9"/>
      <c r="I152" s="9"/>
      <c r="J152" s="9"/>
      <c r="K152" s="9"/>
      <c r="L152" s="9"/>
      <c r="M152" s="9"/>
      <c r="N152" s="9"/>
      <c r="O152" s="9"/>
      <c r="P152" s="9"/>
      <c r="Q152" s="9"/>
      <c r="R152" s="9"/>
      <c r="S152" s="9"/>
      <c r="T152" s="9"/>
      <c r="U152" s="9"/>
      <c r="V152" s="9"/>
      <c r="W152" s="9"/>
      <c r="X152" s="9"/>
      <c r="Y152" s="9"/>
      <c r="Z152" s="9"/>
      <c r="AA152" s="9"/>
      <c r="AB152" s="9"/>
      <c r="AC152" s="9"/>
      <c r="AD152" s="9"/>
      <c r="AE152" s="9"/>
      <c r="AF152" s="9"/>
      <c r="AG152" s="9"/>
      <c r="AH152" s="9"/>
      <c r="AI152" s="9"/>
      <c r="AJ152" s="9"/>
    </row>
    <row r="153" spans="1:36">
      <c r="A153" s="9"/>
      <c r="B153" s="9"/>
      <c r="C153" s="9"/>
      <c r="D153" s="9"/>
      <c r="E153" s="9"/>
      <c r="F153" s="9"/>
      <c r="G153" s="9"/>
      <c r="H153" s="9"/>
      <c r="I153" s="9"/>
      <c r="J153" s="9"/>
      <c r="K153" s="9"/>
      <c r="L153" s="9"/>
      <c r="M153" s="9"/>
      <c r="N153" s="9"/>
      <c r="O153" s="9"/>
      <c r="P153" s="9"/>
      <c r="Q153" s="9"/>
      <c r="R153" s="9"/>
      <c r="S153" s="9"/>
      <c r="T153" s="9"/>
      <c r="U153" s="9"/>
      <c r="V153" s="9"/>
      <c r="W153" s="9"/>
      <c r="X153" s="9"/>
      <c r="Y153" s="9"/>
      <c r="Z153" s="9"/>
      <c r="AA153" s="9"/>
      <c r="AB153" s="9"/>
      <c r="AC153" s="9"/>
      <c r="AD153" s="9"/>
      <c r="AE153" s="9"/>
      <c r="AF153" s="9"/>
      <c r="AG153" s="9"/>
      <c r="AH153" s="9"/>
      <c r="AI153" s="9"/>
      <c r="AJ153" s="9"/>
    </row>
    <row r="154" spans="1:36">
      <c r="A154" s="9"/>
      <c r="B154" s="9"/>
      <c r="C154" s="9"/>
      <c r="D154" s="9"/>
      <c r="E154" s="9"/>
      <c r="F154" s="9"/>
      <c r="G154" s="9"/>
      <c r="H154" s="9"/>
      <c r="I154" s="9"/>
      <c r="J154" s="9"/>
      <c r="K154" s="9"/>
      <c r="L154" s="9"/>
      <c r="M154" s="9"/>
      <c r="N154" s="9"/>
      <c r="O154" s="9"/>
      <c r="P154" s="9"/>
      <c r="Q154" s="9"/>
      <c r="R154" s="9"/>
      <c r="S154" s="9"/>
      <c r="T154" s="9"/>
      <c r="U154" s="9"/>
      <c r="V154" s="9"/>
      <c r="W154" s="9"/>
      <c r="X154" s="9"/>
      <c r="Y154" s="9"/>
      <c r="Z154" s="9"/>
      <c r="AA154" s="9"/>
      <c r="AB154" s="9"/>
      <c r="AC154" s="9"/>
      <c r="AD154" s="9"/>
      <c r="AE154" s="9"/>
      <c r="AF154" s="9"/>
      <c r="AG154" s="9"/>
      <c r="AH154" s="9"/>
      <c r="AI154" s="9"/>
      <c r="AJ154" s="9"/>
    </row>
    <row r="155" spans="1:36">
      <c r="A155" s="9"/>
      <c r="B155" s="9"/>
      <c r="C155" s="9"/>
      <c r="D155" s="9"/>
      <c r="E155" s="9"/>
      <c r="F155" s="9"/>
      <c r="G155" s="9"/>
      <c r="H155" s="9"/>
      <c r="I155" s="9"/>
      <c r="J155" s="9"/>
      <c r="K155" s="9"/>
      <c r="L155" s="9"/>
      <c r="M155" s="9"/>
      <c r="N155" s="9"/>
      <c r="O155" s="9"/>
      <c r="P155" s="9"/>
      <c r="Q155" s="9"/>
      <c r="R155" s="9"/>
      <c r="S155" s="9"/>
      <c r="T155" s="9"/>
      <c r="U155" s="9"/>
      <c r="V155" s="9"/>
      <c r="W155" s="9"/>
      <c r="X155" s="9"/>
      <c r="Y155" s="9"/>
      <c r="Z155" s="9"/>
      <c r="AA155" s="9"/>
      <c r="AB155" s="9"/>
      <c r="AC155" s="9"/>
      <c r="AD155" s="9"/>
      <c r="AE155" s="9"/>
      <c r="AF155" s="9"/>
      <c r="AG155" s="9"/>
      <c r="AH155" s="9"/>
      <c r="AI155" s="9"/>
      <c r="AJ155" s="9"/>
    </row>
    <row r="156" spans="1:36">
      <c r="A156" s="9"/>
      <c r="B156" s="9"/>
      <c r="C156" s="9"/>
      <c r="D156" s="9"/>
      <c r="E156" s="9"/>
      <c r="F156" s="9"/>
      <c r="G156" s="9"/>
      <c r="H156" s="9"/>
      <c r="I156" s="9"/>
      <c r="J156" s="9"/>
      <c r="K156" s="9"/>
      <c r="L156" s="9"/>
      <c r="M156" s="9"/>
      <c r="N156" s="9"/>
      <c r="O156" s="9"/>
      <c r="P156" s="9"/>
      <c r="Q156" s="9"/>
      <c r="R156" s="9"/>
      <c r="S156" s="9"/>
      <c r="T156" s="9"/>
      <c r="U156" s="9"/>
      <c r="V156" s="9"/>
      <c r="W156" s="9"/>
      <c r="X156" s="9"/>
      <c r="Y156" s="9"/>
      <c r="Z156" s="9"/>
      <c r="AA156" s="9"/>
      <c r="AB156" s="9"/>
      <c r="AC156" s="9"/>
      <c r="AD156" s="9"/>
      <c r="AE156" s="9"/>
      <c r="AF156" s="9"/>
      <c r="AG156" s="9"/>
      <c r="AH156" s="9"/>
      <c r="AI156" s="9"/>
      <c r="AJ156" s="9"/>
    </row>
    <row r="157" spans="1:36">
      <c r="A157" s="9"/>
      <c r="B157" s="9"/>
      <c r="C157" s="9"/>
      <c r="D157" s="9"/>
      <c r="E157" s="9"/>
      <c r="F157" s="9"/>
      <c r="G157" s="9"/>
      <c r="H157" s="9"/>
      <c r="I157" s="9"/>
      <c r="J157" s="9"/>
      <c r="K157" s="9"/>
      <c r="L157" s="9"/>
      <c r="M157" s="9"/>
      <c r="N157" s="9"/>
      <c r="O157" s="9"/>
      <c r="P157" s="9"/>
      <c r="Q157" s="9"/>
      <c r="R157" s="9"/>
      <c r="S157" s="9"/>
      <c r="T157" s="9"/>
      <c r="U157" s="9"/>
      <c r="V157" s="9"/>
      <c r="W157" s="9"/>
      <c r="X157" s="9"/>
      <c r="Y157" s="9"/>
      <c r="Z157" s="9"/>
      <c r="AA157" s="9"/>
      <c r="AB157" s="9"/>
      <c r="AC157" s="9"/>
      <c r="AD157" s="9"/>
      <c r="AE157" s="9"/>
      <c r="AF157" s="9"/>
      <c r="AG157" s="9"/>
      <c r="AH157" s="9"/>
      <c r="AI157" s="9"/>
      <c r="AJ157" s="9"/>
    </row>
    <row r="158" spans="1:36">
      <c r="A158" s="9"/>
      <c r="B158" s="9"/>
      <c r="C158" s="9"/>
      <c r="D158" s="9"/>
      <c r="E158" s="9"/>
      <c r="F158" s="9"/>
      <c r="G158" s="9"/>
      <c r="H158" s="9"/>
      <c r="I158" s="9"/>
      <c r="J158" s="9"/>
      <c r="K158" s="9"/>
      <c r="L158" s="9"/>
      <c r="M158" s="9"/>
      <c r="N158" s="9"/>
      <c r="O158" s="9"/>
      <c r="P158" s="9"/>
      <c r="Q158" s="9"/>
      <c r="R158" s="9"/>
      <c r="S158" s="9"/>
      <c r="T158" s="9"/>
      <c r="U158" s="9"/>
      <c r="V158" s="9"/>
      <c r="W158" s="9"/>
      <c r="X158" s="9"/>
      <c r="Y158" s="9"/>
      <c r="Z158" s="9"/>
      <c r="AA158" s="9"/>
      <c r="AB158" s="9"/>
      <c r="AC158" s="9"/>
      <c r="AD158" s="9"/>
      <c r="AE158" s="9"/>
      <c r="AF158" s="9"/>
      <c r="AG158" s="9"/>
      <c r="AH158" s="9"/>
      <c r="AI158" s="9"/>
      <c r="AJ158" s="9"/>
    </row>
    <row r="159" spans="1:36">
      <c r="A159" s="9"/>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row>
    <row r="160" spans="1:36">
      <c r="A160" s="9"/>
      <c r="B160" s="9"/>
      <c r="C160" s="9"/>
      <c r="D160" s="9"/>
      <c r="E160" s="9"/>
      <c r="F160" s="9"/>
      <c r="G160" s="9"/>
      <c r="H160" s="9"/>
      <c r="I160" s="9"/>
      <c r="J160" s="9"/>
      <c r="K160" s="9"/>
      <c r="L160" s="9"/>
      <c r="M160" s="9"/>
      <c r="N160" s="9"/>
      <c r="O160" s="9"/>
      <c r="P160" s="9"/>
      <c r="Q160" s="9"/>
      <c r="R160" s="9"/>
      <c r="S160" s="9"/>
      <c r="T160" s="9"/>
      <c r="U160" s="9"/>
      <c r="V160" s="9"/>
      <c r="W160" s="9"/>
      <c r="X160" s="9"/>
      <c r="Y160" s="9"/>
      <c r="Z160" s="9"/>
      <c r="AA160" s="9"/>
      <c r="AB160" s="9"/>
      <c r="AC160" s="9"/>
      <c r="AD160" s="9"/>
      <c r="AE160" s="9"/>
      <c r="AF160" s="9"/>
      <c r="AG160" s="9"/>
      <c r="AH160" s="9"/>
      <c r="AI160" s="9"/>
      <c r="AJ160" s="9"/>
    </row>
    <row r="161" spans="1:36">
      <c r="A161" s="9"/>
      <c r="B161" s="9"/>
      <c r="C161" s="9"/>
      <c r="D161" s="9"/>
      <c r="E161" s="9"/>
      <c r="F161" s="9"/>
      <c r="G161" s="9"/>
      <c r="H161" s="9"/>
      <c r="I161" s="9"/>
      <c r="J161" s="9"/>
      <c r="K161" s="9"/>
      <c r="L161" s="9"/>
      <c r="M161" s="9"/>
      <c r="N161" s="9"/>
      <c r="O161" s="9"/>
      <c r="P161" s="9"/>
      <c r="Q161" s="9"/>
      <c r="R161" s="9"/>
      <c r="S161" s="9"/>
      <c r="T161" s="9"/>
      <c r="U161" s="9"/>
      <c r="V161" s="9"/>
      <c r="W161" s="9"/>
      <c r="X161" s="9"/>
      <c r="Y161" s="9"/>
      <c r="Z161" s="9"/>
      <c r="AA161" s="9"/>
      <c r="AB161" s="9"/>
      <c r="AC161" s="9"/>
      <c r="AD161" s="9"/>
      <c r="AE161" s="9"/>
      <c r="AF161" s="9"/>
      <c r="AG161" s="9"/>
      <c r="AH161" s="9"/>
      <c r="AI161" s="9"/>
      <c r="AJ161" s="9"/>
    </row>
    <row r="162" spans="1:36">
      <c r="A162" s="9"/>
      <c r="B162" s="9"/>
      <c r="C162" s="9"/>
      <c r="D162" s="9"/>
      <c r="E162" s="9"/>
      <c r="F162" s="9"/>
      <c r="G162" s="9"/>
      <c r="H162" s="9"/>
      <c r="I162" s="9"/>
      <c r="J162" s="9"/>
      <c r="K162" s="9"/>
      <c r="L162" s="9"/>
      <c r="M162" s="9"/>
      <c r="N162" s="9"/>
      <c r="O162" s="9"/>
      <c r="P162" s="9"/>
      <c r="Q162" s="9"/>
      <c r="R162" s="9"/>
      <c r="S162" s="9"/>
      <c r="T162" s="9"/>
      <c r="U162" s="9"/>
      <c r="V162" s="9"/>
      <c r="W162" s="9"/>
      <c r="X162" s="9"/>
      <c r="Y162" s="9"/>
      <c r="Z162" s="9"/>
      <c r="AA162" s="9"/>
      <c r="AB162" s="9"/>
      <c r="AC162" s="9"/>
      <c r="AD162" s="9"/>
      <c r="AE162" s="9"/>
      <c r="AF162" s="9"/>
      <c r="AG162" s="9"/>
      <c r="AH162" s="9"/>
      <c r="AI162" s="9"/>
      <c r="AJ162" s="9"/>
    </row>
    <row r="163" spans="1:36">
      <c r="A163" s="9"/>
      <c r="B163" s="9"/>
      <c r="C163" s="9"/>
      <c r="D163" s="9"/>
      <c r="E163" s="9"/>
      <c r="F163" s="9"/>
      <c r="G163" s="9"/>
      <c r="H163" s="9"/>
      <c r="I163" s="9"/>
      <c r="J163" s="9"/>
      <c r="K163" s="9"/>
      <c r="L163" s="9"/>
      <c r="M163" s="9"/>
      <c r="N163" s="9"/>
      <c r="O163" s="9"/>
      <c r="P163" s="9"/>
      <c r="Q163" s="9"/>
      <c r="R163" s="9"/>
      <c r="S163" s="9"/>
      <c r="T163" s="9"/>
      <c r="U163" s="9"/>
      <c r="V163" s="9"/>
      <c r="W163" s="9"/>
      <c r="X163" s="9"/>
      <c r="Y163" s="9"/>
      <c r="Z163" s="9"/>
      <c r="AA163" s="9"/>
      <c r="AB163" s="9"/>
      <c r="AC163" s="9"/>
      <c r="AD163" s="9"/>
      <c r="AE163" s="9"/>
      <c r="AF163" s="9"/>
      <c r="AG163" s="9"/>
      <c r="AH163" s="9"/>
      <c r="AI163" s="9"/>
      <c r="AJ163" s="9"/>
    </row>
    <row r="164" spans="1:36">
      <c r="A164" s="9"/>
      <c r="B164" s="9"/>
      <c r="C164" s="9"/>
      <c r="D164" s="9"/>
      <c r="E164" s="9"/>
      <c r="F164" s="9"/>
      <c r="G164" s="9"/>
      <c r="H164" s="9"/>
      <c r="I164" s="9"/>
      <c r="J164" s="9"/>
      <c r="K164" s="9"/>
      <c r="L164" s="9"/>
      <c r="M164" s="9"/>
      <c r="N164" s="9"/>
      <c r="O164" s="9"/>
      <c r="P164" s="9"/>
      <c r="Q164" s="9"/>
      <c r="R164" s="9"/>
      <c r="S164" s="9"/>
      <c r="T164" s="9"/>
      <c r="U164" s="9"/>
      <c r="V164" s="9"/>
      <c r="W164" s="9"/>
      <c r="X164" s="9"/>
      <c r="Y164" s="9"/>
      <c r="Z164" s="9"/>
      <c r="AA164" s="9"/>
      <c r="AB164" s="9"/>
      <c r="AC164" s="9"/>
      <c r="AD164" s="9"/>
      <c r="AE164" s="9"/>
      <c r="AF164" s="9"/>
      <c r="AG164" s="9"/>
      <c r="AH164" s="9"/>
      <c r="AI164" s="9"/>
      <c r="AJ164" s="9"/>
    </row>
    <row r="165" spans="1:36">
      <c r="A165" s="9"/>
      <c r="B165" s="9"/>
      <c r="C165" s="9"/>
      <c r="D165" s="9"/>
      <c r="E165" s="9"/>
      <c r="F165" s="9"/>
      <c r="G165" s="9"/>
      <c r="H165" s="9"/>
      <c r="I165" s="9"/>
      <c r="J165" s="9"/>
      <c r="K165" s="9"/>
      <c r="L165" s="9"/>
      <c r="M165" s="9"/>
      <c r="N165" s="9"/>
      <c r="O165" s="9"/>
      <c r="P165" s="9"/>
      <c r="Q165" s="9"/>
      <c r="R165" s="9"/>
      <c r="S165" s="9"/>
      <c r="T165" s="9"/>
      <c r="U165" s="9"/>
      <c r="V165" s="9"/>
      <c r="W165" s="9"/>
      <c r="X165" s="9"/>
      <c r="Y165" s="9"/>
      <c r="Z165" s="9"/>
      <c r="AA165" s="9"/>
      <c r="AB165" s="9"/>
      <c r="AC165" s="9"/>
      <c r="AD165" s="9"/>
      <c r="AE165" s="9"/>
      <c r="AF165" s="9"/>
      <c r="AG165" s="9"/>
      <c r="AH165" s="9"/>
      <c r="AI165" s="9"/>
      <c r="AJ165" s="9"/>
    </row>
    <row r="166" spans="1:36">
      <c r="A166" s="9"/>
      <c r="B166" s="9"/>
      <c r="C166" s="9"/>
      <c r="D166" s="9"/>
      <c r="E166" s="9"/>
      <c r="F166" s="9"/>
      <c r="G166" s="9"/>
      <c r="H166" s="9"/>
      <c r="I166" s="9"/>
      <c r="J166" s="9"/>
      <c r="K166" s="9"/>
      <c r="L166" s="9"/>
      <c r="M166" s="9"/>
      <c r="N166" s="9"/>
      <c r="O166" s="9"/>
      <c r="P166" s="9"/>
      <c r="Q166" s="9"/>
      <c r="R166" s="9"/>
      <c r="S166" s="9"/>
      <c r="T166" s="9"/>
      <c r="U166" s="9"/>
      <c r="V166" s="9"/>
      <c r="W166" s="9"/>
      <c r="X166" s="9"/>
      <c r="Y166" s="9"/>
      <c r="Z166" s="9"/>
      <c r="AA166" s="9"/>
      <c r="AB166" s="9"/>
      <c r="AC166" s="9"/>
      <c r="AD166" s="9"/>
      <c r="AE166" s="9"/>
      <c r="AF166" s="9"/>
      <c r="AG166" s="9"/>
      <c r="AH166" s="9"/>
      <c r="AI166" s="9"/>
      <c r="AJ166" s="9"/>
    </row>
    <row r="167" spans="1:36">
      <c r="A167" s="9"/>
      <c r="B167" s="9"/>
      <c r="C167" s="9"/>
      <c r="D167" s="9"/>
      <c r="E167" s="9"/>
      <c r="F167" s="9"/>
      <c r="G167" s="9"/>
      <c r="H167" s="9"/>
      <c r="I167" s="9"/>
      <c r="J167" s="9"/>
      <c r="K167" s="9"/>
      <c r="L167" s="9"/>
      <c r="M167" s="9"/>
      <c r="N167" s="9"/>
      <c r="O167" s="9"/>
      <c r="P167" s="9"/>
      <c r="Q167" s="9"/>
      <c r="R167" s="9"/>
      <c r="S167" s="9"/>
      <c r="T167" s="9"/>
      <c r="U167" s="9"/>
      <c r="V167" s="9"/>
      <c r="W167" s="9"/>
      <c r="X167" s="9"/>
      <c r="Y167" s="9"/>
      <c r="Z167" s="9"/>
      <c r="AA167" s="9"/>
      <c r="AB167" s="9"/>
      <c r="AC167" s="9"/>
      <c r="AD167" s="9"/>
      <c r="AE167" s="9"/>
      <c r="AF167" s="9"/>
      <c r="AG167" s="9"/>
      <c r="AH167" s="9"/>
      <c r="AI167" s="9"/>
      <c r="AJ167" s="9"/>
    </row>
    <row r="168" spans="1:36">
      <c r="A168" s="9"/>
      <c r="B168" s="9"/>
      <c r="C168" s="9"/>
      <c r="D168" s="9"/>
      <c r="E168" s="9"/>
      <c r="F168" s="9"/>
      <c r="G168" s="9"/>
      <c r="H168" s="9"/>
      <c r="I168" s="9"/>
      <c r="J168" s="9"/>
      <c r="K168" s="9"/>
      <c r="L168" s="9"/>
      <c r="M168" s="9"/>
      <c r="N168" s="9"/>
      <c r="O168" s="9"/>
      <c r="P168" s="9"/>
      <c r="Q168" s="9"/>
      <c r="R168" s="9"/>
      <c r="S168" s="9"/>
      <c r="T168" s="9"/>
      <c r="U168" s="9"/>
      <c r="V168" s="9"/>
      <c r="W168" s="9"/>
      <c r="X168" s="9"/>
      <c r="Y168" s="9"/>
      <c r="Z168" s="9"/>
      <c r="AA168" s="9"/>
      <c r="AB168" s="9"/>
      <c r="AC168" s="9"/>
      <c r="AD168" s="9"/>
      <c r="AE168" s="9"/>
      <c r="AF168" s="9"/>
      <c r="AG168" s="9"/>
      <c r="AH168" s="9"/>
      <c r="AI168" s="9"/>
      <c r="AJ168" s="9"/>
    </row>
    <row r="169" spans="1:36">
      <c r="A169" s="9"/>
      <c r="B169" s="9"/>
      <c r="C169" s="9"/>
      <c r="D169" s="9"/>
      <c r="E169" s="9"/>
      <c r="F169" s="9"/>
      <c r="G169" s="9"/>
      <c r="H169" s="9"/>
      <c r="I169" s="9"/>
      <c r="J169" s="9"/>
      <c r="K169" s="9"/>
      <c r="L169" s="9"/>
      <c r="M169" s="9"/>
      <c r="N169" s="9"/>
      <c r="O169" s="9"/>
      <c r="P169" s="9"/>
      <c r="Q169" s="9"/>
      <c r="R169" s="9"/>
      <c r="S169" s="9"/>
      <c r="T169" s="9"/>
      <c r="U169" s="9"/>
      <c r="V169" s="9"/>
      <c r="W169" s="9"/>
      <c r="X169" s="9"/>
      <c r="Y169" s="9"/>
      <c r="Z169" s="9"/>
      <c r="AA169" s="9"/>
      <c r="AB169" s="9"/>
      <c r="AC169" s="9"/>
      <c r="AD169" s="9"/>
      <c r="AE169" s="9"/>
      <c r="AF169" s="9"/>
      <c r="AG169" s="9"/>
      <c r="AH169" s="9"/>
      <c r="AI169" s="9"/>
      <c r="AJ169" s="9"/>
    </row>
    <row r="170" spans="1:36">
      <c r="A170" s="9"/>
      <c r="B170" s="9"/>
      <c r="C170" s="9"/>
      <c r="D170" s="9"/>
      <c r="E170" s="9"/>
      <c r="F170" s="9"/>
      <c r="G170" s="9"/>
      <c r="H170" s="9"/>
      <c r="I170" s="9"/>
      <c r="J170" s="9"/>
      <c r="K170" s="9"/>
      <c r="L170" s="9"/>
      <c r="M170" s="9"/>
      <c r="N170" s="9"/>
      <c r="O170" s="9"/>
      <c r="P170" s="9"/>
      <c r="Q170" s="9"/>
      <c r="R170" s="9"/>
      <c r="S170" s="9"/>
      <c r="T170" s="9"/>
      <c r="U170" s="9"/>
      <c r="V170" s="9"/>
      <c r="W170" s="9"/>
      <c r="X170" s="9"/>
      <c r="Y170" s="9"/>
      <c r="Z170" s="9"/>
      <c r="AA170" s="9"/>
      <c r="AB170" s="9"/>
      <c r="AC170" s="9"/>
      <c r="AD170" s="9"/>
      <c r="AE170" s="9"/>
      <c r="AF170" s="9"/>
      <c r="AG170" s="9"/>
      <c r="AH170" s="9"/>
      <c r="AI170" s="9"/>
      <c r="AJ170" s="9"/>
    </row>
    <row r="171" spans="1:36">
      <c r="A171" s="9"/>
      <c r="B171" s="9"/>
      <c r="C171" s="9"/>
      <c r="D171" s="9"/>
      <c r="E171" s="9"/>
      <c r="F171" s="9"/>
      <c r="G171" s="9"/>
      <c r="H171" s="9"/>
      <c r="I171" s="9"/>
      <c r="J171" s="9"/>
      <c r="K171" s="9"/>
      <c r="L171" s="9"/>
      <c r="M171" s="9"/>
      <c r="N171" s="9"/>
      <c r="O171" s="9"/>
      <c r="P171" s="9"/>
      <c r="Q171" s="9"/>
      <c r="R171" s="9"/>
      <c r="S171" s="9"/>
      <c r="T171" s="9"/>
      <c r="U171" s="9"/>
      <c r="V171" s="9"/>
      <c r="W171" s="9"/>
      <c r="X171" s="9"/>
      <c r="Y171" s="9"/>
      <c r="Z171" s="9"/>
      <c r="AA171" s="9"/>
      <c r="AB171" s="9"/>
      <c r="AC171" s="9"/>
      <c r="AD171" s="9"/>
      <c r="AE171" s="9"/>
      <c r="AF171" s="9"/>
      <c r="AG171" s="9"/>
      <c r="AH171" s="9"/>
      <c r="AI171" s="9"/>
      <c r="AJ171" s="9"/>
    </row>
    <row r="172" spans="1:36">
      <c r="A172" s="9"/>
      <c r="B172" s="9"/>
      <c r="C172" s="9"/>
      <c r="D172" s="9"/>
      <c r="E172" s="9"/>
      <c r="F172" s="9"/>
      <c r="G172" s="9"/>
      <c r="H172" s="9"/>
      <c r="I172" s="9"/>
      <c r="J172" s="9"/>
      <c r="K172" s="9"/>
      <c r="L172" s="9"/>
      <c r="M172" s="9"/>
      <c r="N172" s="9"/>
      <c r="O172" s="9"/>
      <c r="P172" s="9"/>
      <c r="Q172" s="9"/>
      <c r="R172" s="9"/>
      <c r="S172" s="9"/>
      <c r="T172" s="9"/>
      <c r="U172" s="9"/>
      <c r="V172" s="9"/>
      <c r="W172" s="9"/>
      <c r="X172" s="9"/>
      <c r="Y172" s="9"/>
      <c r="Z172" s="9"/>
      <c r="AA172" s="9"/>
      <c r="AB172" s="9"/>
      <c r="AC172" s="9"/>
      <c r="AD172" s="9"/>
      <c r="AE172" s="9"/>
      <c r="AF172" s="9"/>
      <c r="AG172" s="9"/>
      <c r="AH172" s="9"/>
      <c r="AI172" s="9"/>
      <c r="AJ172" s="9"/>
    </row>
    <row r="173" spans="1:36">
      <c r="A173" s="9"/>
      <c r="B173" s="9"/>
      <c r="C173" s="9"/>
      <c r="D173" s="9"/>
      <c r="E173" s="9"/>
      <c r="F173" s="9"/>
      <c r="G173" s="9"/>
      <c r="H173" s="9"/>
      <c r="I173" s="9"/>
      <c r="J173" s="9"/>
      <c r="K173" s="9"/>
      <c r="L173" s="9"/>
      <c r="M173" s="9"/>
      <c r="N173" s="9"/>
      <c r="O173" s="9"/>
      <c r="P173" s="9"/>
      <c r="Q173" s="9"/>
      <c r="R173" s="9"/>
      <c r="S173" s="9"/>
      <c r="T173" s="9"/>
      <c r="U173" s="9"/>
      <c r="V173" s="9"/>
      <c r="W173" s="9"/>
      <c r="X173" s="9"/>
      <c r="Y173" s="9"/>
      <c r="Z173" s="9"/>
      <c r="AA173" s="9"/>
      <c r="AB173" s="9"/>
      <c r="AC173" s="9"/>
      <c r="AD173" s="9"/>
      <c r="AE173" s="9"/>
      <c r="AF173" s="9"/>
      <c r="AG173" s="9"/>
      <c r="AH173" s="9"/>
      <c r="AI173" s="9"/>
      <c r="AJ173" s="9"/>
    </row>
    <row r="174" spans="1:36">
      <c r="A174" s="9"/>
      <c r="B174" s="9"/>
      <c r="C174" s="9"/>
      <c r="D174" s="9"/>
      <c r="E174" s="9"/>
      <c r="F174" s="9"/>
      <c r="G174" s="9"/>
      <c r="H174" s="9"/>
      <c r="I174" s="9"/>
      <c r="J174" s="9"/>
      <c r="K174" s="9"/>
      <c r="L174" s="9"/>
      <c r="M174" s="9"/>
      <c r="N174" s="9"/>
      <c r="O174" s="9"/>
      <c r="P174" s="9"/>
      <c r="Q174" s="9"/>
      <c r="R174" s="9"/>
      <c r="S174" s="9"/>
      <c r="T174" s="9"/>
      <c r="U174" s="9"/>
      <c r="V174" s="9"/>
      <c r="W174" s="9"/>
      <c r="X174" s="9"/>
      <c r="Y174" s="9"/>
      <c r="Z174" s="9"/>
      <c r="AA174" s="9"/>
      <c r="AB174" s="9"/>
      <c r="AC174" s="9"/>
      <c r="AD174" s="9"/>
      <c r="AE174" s="9"/>
      <c r="AF174" s="9"/>
      <c r="AG174" s="9"/>
      <c r="AH174" s="9"/>
      <c r="AI174" s="9"/>
      <c r="AJ174" s="9"/>
    </row>
    <row r="175" spans="1:36">
      <c r="A175" s="9"/>
      <c r="B175" s="9"/>
      <c r="C175" s="9"/>
      <c r="D175" s="9"/>
      <c r="E175" s="9"/>
      <c r="F175" s="9"/>
      <c r="G175" s="9"/>
      <c r="H175" s="9"/>
      <c r="I175" s="9"/>
      <c r="J175" s="9"/>
      <c r="K175" s="9"/>
      <c r="L175" s="9"/>
      <c r="M175" s="9"/>
      <c r="N175" s="9"/>
      <c r="O175" s="9"/>
      <c r="P175" s="9"/>
      <c r="Q175" s="9"/>
      <c r="R175" s="9"/>
      <c r="S175" s="9"/>
      <c r="T175" s="9"/>
      <c r="U175" s="9"/>
      <c r="V175" s="9"/>
      <c r="W175" s="9"/>
      <c r="X175" s="9"/>
      <c r="Y175" s="9"/>
      <c r="Z175" s="9"/>
      <c r="AA175" s="9"/>
      <c r="AB175" s="9"/>
      <c r="AC175" s="9"/>
      <c r="AD175" s="9"/>
      <c r="AE175" s="9"/>
      <c r="AF175" s="9"/>
      <c r="AG175" s="9"/>
      <c r="AH175" s="9"/>
      <c r="AI175" s="9"/>
      <c r="AJ175" s="9"/>
    </row>
    <row r="176" spans="1:36">
      <c r="A176" s="9"/>
      <c r="B176" s="9"/>
      <c r="C176" s="9"/>
      <c r="D176" s="9"/>
      <c r="E176" s="9"/>
      <c r="F176" s="9"/>
      <c r="G176" s="9"/>
      <c r="H176" s="9"/>
      <c r="I176" s="9"/>
      <c r="J176" s="9"/>
      <c r="K176" s="9"/>
      <c r="L176" s="9"/>
      <c r="M176" s="9"/>
      <c r="N176" s="9"/>
      <c r="O176" s="9"/>
      <c r="P176" s="9"/>
      <c r="Q176" s="9"/>
      <c r="R176" s="9"/>
      <c r="S176" s="9"/>
      <c r="T176" s="9"/>
      <c r="U176" s="9"/>
      <c r="V176" s="9"/>
      <c r="W176" s="9"/>
      <c r="X176" s="9"/>
      <c r="Y176" s="9"/>
      <c r="Z176" s="9"/>
      <c r="AA176" s="9"/>
      <c r="AB176" s="9"/>
      <c r="AC176" s="9"/>
      <c r="AD176" s="9"/>
      <c r="AE176" s="9"/>
      <c r="AF176" s="9"/>
      <c r="AG176" s="9"/>
      <c r="AH176" s="9"/>
      <c r="AI176" s="9"/>
      <c r="AJ176" s="9"/>
    </row>
    <row r="177" spans="1:36">
      <c r="A177" s="9"/>
      <c r="B177" s="9"/>
      <c r="C177" s="9"/>
      <c r="D177" s="9"/>
      <c r="E177" s="9"/>
      <c r="F177" s="9"/>
      <c r="G177" s="9"/>
      <c r="H177" s="9"/>
      <c r="I177" s="9"/>
      <c r="J177" s="9"/>
      <c r="K177" s="9"/>
      <c r="L177" s="9"/>
      <c r="M177" s="9"/>
      <c r="N177" s="9"/>
      <c r="O177" s="9"/>
      <c r="P177" s="9"/>
      <c r="Q177" s="9"/>
      <c r="R177" s="9"/>
      <c r="S177" s="9"/>
      <c r="T177" s="9"/>
      <c r="U177" s="9"/>
      <c r="V177" s="9"/>
      <c r="W177" s="9"/>
      <c r="X177" s="9"/>
      <c r="Y177" s="9"/>
      <c r="Z177" s="9"/>
      <c r="AA177" s="9"/>
      <c r="AB177" s="9"/>
      <c r="AC177" s="9"/>
      <c r="AD177" s="9"/>
      <c r="AE177" s="9"/>
      <c r="AF177" s="9"/>
      <c r="AG177" s="9"/>
      <c r="AH177" s="9"/>
      <c r="AI177" s="9"/>
      <c r="AJ177" s="9"/>
    </row>
    <row r="178" spans="1:36">
      <c r="A178" s="9"/>
      <c r="B178" s="9"/>
      <c r="C178" s="9"/>
      <c r="D178" s="9"/>
      <c r="E178" s="9"/>
      <c r="F178" s="9"/>
      <c r="G178" s="9"/>
      <c r="H178" s="9"/>
      <c r="I178" s="9"/>
      <c r="J178" s="9"/>
      <c r="K178" s="9"/>
      <c r="L178" s="9"/>
      <c r="M178" s="9"/>
      <c r="N178" s="9"/>
      <c r="O178" s="9"/>
      <c r="P178" s="9"/>
      <c r="Q178" s="9"/>
      <c r="R178" s="9"/>
      <c r="S178" s="9"/>
      <c r="T178" s="9"/>
      <c r="U178" s="9"/>
      <c r="V178" s="9"/>
      <c r="W178" s="9"/>
      <c r="X178" s="9"/>
      <c r="Y178" s="9"/>
      <c r="Z178" s="9"/>
      <c r="AA178" s="9"/>
      <c r="AB178" s="9"/>
      <c r="AC178" s="9"/>
      <c r="AD178" s="9"/>
      <c r="AE178" s="9"/>
      <c r="AF178" s="9"/>
      <c r="AG178" s="9"/>
      <c r="AH178" s="9"/>
      <c r="AI178" s="9"/>
      <c r="AJ178" s="9"/>
    </row>
    <row r="179" spans="1:36">
      <c r="A179" s="9"/>
      <c r="B179" s="9"/>
      <c r="C179" s="9"/>
      <c r="D179" s="9"/>
      <c r="E179" s="9"/>
      <c r="F179" s="9"/>
      <c r="G179" s="9"/>
      <c r="H179" s="9"/>
      <c r="I179" s="9"/>
      <c r="J179" s="9"/>
      <c r="K179" s="9"/>
      <c r="L179" s="9"/>
      <c r="M179" s="9"/>
      <c r="N179" s="9"/>
      <c r="O179" s="9"/>
      <c r="P179" s="9"/>
      <c r="Q179" s="9"/>
      <c r="R179" s="9"/>
      <c r="S179" s="9"/>
      <c r="T179" s="9"/>
      <c r="U179" s="9"/>
      <c r="V179" s="9"/>
      <c r="W179" s="9"/>
      <c r="X179" s="9"/>
      <c r="Y179" s="9"/>
      <c r="Z179" s="9"/>
      <c r="AA179" s="9"/>
      <c r="AB179" s="9"/>
      <c r="AC179" s="9"/>
      <c r="AD179" s="9"/>
      <c r="AE179" s="9"/>
      <c r="AF179" s="9"/>
      <c r="AG179" s="9"/>
      <c r="AH179" s="9"/>
      <c r="AI179" s="9"/>
      <c r="AJ179" s="9"/>
    </row>
    <row r="180" spans="1:36">
      <c r="A180" s="9"/>
      <c r="B180" s="9"/>
      <c r="C180" s="9"/>
      <c r="D180" s="9"/>
      <c r="E180" s="9"/>
      <c r="F180" s="9"/>
      <c r="G180" s="9"/>
      <c r="H180" s="9"/>
      <c r="I180" s="9"/>
      <c r="J180" s="9"/>
      <c r="K180" s="9"/>
      <c r="L180" s="9"/>
      <c r="M180" s="9"/>
      <c r="N180" s="9"/>
      <c r="O180" s="9"/>
      <c r="P180" s="9"/>
      <c r="Q180" s="9"/>
      <c r="R180" s="9"/>
      <c r="S180" s="9"/>
      <c r="T180" s="9"/>
      <c r="U180" s="9"/>
      <c r="V180" s="9"/>
      <c r="W180" s="9"/>
      <c r="X180" s="9"/>
      <c r="Y180" s="9"/>
      <c r="Z180" s="9"/>
      <c r="AA180" s="9"/>
      <c r="AB180" s="9"/>
      <c r="AC180" s="9"/>
      <c r="AD180" s="9"/>
      <c r="AE180" s="9"/>
      <c r="AF180" s="9"/>
      <c r="AG180" s="9"/>
      <c r="AH180" s="9"/>
      <c r="AI180" s="9"/>
      <c r="AJ180" s="9"/>
    </row>
    <row r="181" spans="1:36">
      <c r="A181" s="9"/>
      <c r="B181" s="9"/>
      <c r="C181" s="9"/>
      <c r="D181" s="9"/>
      <c r="E181" s="9"/>
      <c r="F181" s="9"/>
      <c r="G181" s="9"/>
      <c r="H181" s="9"/>
      <c r="I181" s="9"/>
      <c r="J181" s="9"/>
      <c r="K181" s="9"/>
      <c r="L181" s="9"/>
      <c r="M181" s="9"/>
      <c r="N181" s="9"/>
      <c r="O181" s="9"/>
      <c r="P181" s="9"/>
      <c r="Q181" s="9"/>
      <c r="R181" s="9"/>
      <c r="S181" s="9"/>
      <c r="T181" s="9"/>
      <c r="U181" s="9"/>
      <c r="V181" s="9"/>
      <c r="W181" s="9"/>
      <c r="X181" s="9"/>
      <c r="Y181" s="9"/>
      <c r="Z181" s="9"/>
      <c r="AA181" s="9"/>
      <c r="AB181" s="9"/>
      <c r="AC181" s="9"/>
      <c r="AD181" s="9"/>
      <c r="AE181" s="9"/>
      <c r="AF181" s="9"/>
      <c r="AG181" s="9"/>
      <c r="AH181" s="9"/>
      <c r="AI181" s="9"/>
      <c r="AJ181" s="9"/>
    </row>
    <row r="182" spans="1:36">
      <c r="A182" s="9"/>
      <c r="B182" s="9"/>
      <c r="C182" s="9"/>
      <c r="D182" s="9"/>
      <c r="E182" s="9"/>
      <c r="F182" s="9"/>
      <c r="G182" s="9"/>
      <c r="H182" s="9"/>
      <c r="I182" s="9"/>
      <c r="J182" s="9"/>
      <c r="K182" s="9"/>
      <c r="L182" s="9"/>
      <c r="M182" s="9"/>
      <c r="N182" s="9"/>
      <c r="O182" s="9"/>
      <c r="P182" s="9"/>
      <c r="Q182" s="9"/>
      <c r="R182" s="9"/>
      <c r="S182" s="9"/>
      <c r="T182" s="9"/>
      <c r="U182" s="9"/>
      <c r="V182" s="9"/>
      <c r="W182" s="9"/>
      <c r="X182" s="9"/>
      <c r="Y182" s="9"/>
      <c r="Z182" s="9"/>
      <c r="AA182" s="9"/>
      <c r="AB182" s="9"/>
      <c r="AC182" s="9"/>
      <c r="AD182" s="9"/>
      <c r="AE182" s="9"/>
      <c r="AF182" s="9"/>
      <c r="AG182" s="9"/>
      <c r="AH182" s="9"/>
      <c r="AI182" s="9"/>
      <c r="AJ182" s="9"/>
    </row>
    <row r="183" spans="1:36">
      <c r="A183" s="9"/>
      <c r="B183" s="9"/>
      <c r="C183" s="9"/>
      <c r="D183" s="9"/>
      <c r="E183" s="9"/>
      <c r="F183" s="9"/>
      <c r="G183" s="9"/>
      <c r="H183" s="9"/>
      <c r="I183" s="9"/>
      <c r="J183" s="9"/>
      <c r="K183" s="9"/>
      <c r="L183" s="9"/>
      <c r="M183" s="9"/>
      <c r="N183" s="9"/>
      <c r="O183" s="9"/>
      <c r="P183" s="9"/>
      <c r="Q183" s="9"/>
      <c r="R183" s="9"/>
      <c r="S183" s="9"/>
      <c r="T183" s="9"/>
      <c r="U183" s="9"/>
      <c r="V183" s="9"/>
      <c r="W183" s="9"/>
      <c r="X183" s="9"/>
      <c r="Y183" s="9"/>
      <c r="Z183" s="9"/>
      <c r="AA183" s="9"/>
      <c r="AB183" s="9"/>
      <c r="AC183" s="9"/>
      <c r="AD183" s="9"/>
      <c r="AE183" s="9"/>
      <c r="AF183" s="9"/>
      <c r="AG183" s="9"/>
      <c r="AH183" s="9"/>
      <c r="AI183" s="9"/>
      <c r="AJ183" s="9"/>
    </row>
    <row r="184" spans="1:36">
      <c r="A184" s="9"/>
      <c r="B184" s="9"/>
      <c r="C184" s="9"/>
      <c r="D184" s="9"/>
      <c r="E184" s="9"/>
      <c r="F184" s="9"/>
      <c r="G184" s="9"/>
      <c r="H184" s="9"/>
      <c r="I184" s="9"/>
      <c r="J184" s="9"/>
      <c r="K184" s="9"/>
      <c r="L184" s="9"/>
      <c r="M184" s="9"/>
      <c r="N184" s="9"/>
      <c r="O184" s="9"/>
      <c r="P184" s="9"/>
      <c r="Q184" s="9"/>
      <c r="R184" s="9"/>
      <c r="S184" s="9"/>
      <c r="T184" s="9"/>
      <c r="U184" s="9"/>
      <c r="V184" s="9"/>
      <c r="W184" s="9"/>
      <c r="X184" s="9"/>
      <c r="Y184" s="9"/>
      <c r="Z184" s="9"/>
      <c r="AA184" s="9"/>
      <c r="AB184" s="9"/>
      <c r="AC184" s="9"/>
      <c r="AD184" s="9"/>
      <c r="AE184" s="9"/>
      <c r="AF184" s="9"/>
      <c r="AG184" s="9"/>
      <c r="AH184" s="9"/>
      <c r="AI184" s="9"/>
      <c r="AJ184" s="9"/>
    </row>
    <row r="185" spans="1:36">
      <c r="A185" s="9"/>
      <c r="B185" s="9"/>
      <c r="C185" s="9"/>
      <c r="D185" s="9"/>
      <c r="E185" s="9"/>
      <c r="F185" s="9"/>
      <c r="G185" s="9"/>
      <c r="H185" s="9"/>
      <c r="I185" s="9"/>
      <c r="J185" s="9"/>
      <c r="K185" s="9"/>
      <c r="L185" s="9"/>
      <c r="M185" s="9"/>
      <c r="N185" s="9"/>
      <c r="O185" s="9"/>
      <c r="P185" s="9"/>
      <c r="Q185" s="9"/>
      <c r="R185" s="9"/>
      <c r="S185" s="9"/>
      <c r="T185" s="9"/>
      <c r="U185" s="9"/>
      <c r="V185" s="9"/>
      <c r="W185" s="9"/>
      <c r="X185" s="9"/>
      <c r="Y185" s="9"/>
      <c r="Z185" s="9"/>
      <c r="AA185" s="9"/>
      <c r="AB185" s="9"/>
      <c r="AC185" s="9"/>
      <c r="AD185" s="9"/>
      <c r="AE185" s="9"/>
      <c r="AF185" s="9"/>
      <c r="AG185" s="9"/>
      <c r="AH185" s="9"/>
      <c r="AI185" s="9"/>
      <c r="AJ185" s="9"/>
    </row>
    <row r="186" spans="1:36">
      <c r="A186" s="9"/>
      <c r="B186" s="9"/>
      <c r="C186" s="9"/>
      <c r="D186" s="9"/>
      <c r="E186" s="9"/>
      <c r="F186" s="9"/>
      <c r="G186" s="9"/>
      <c r="H186" s="9"/>
      <c r="I186" s="9"/>
      <c r="J186" s="9"/>
      <c r="K186" s="9"/>
      <c r="L186" s="9"/>
      <c r="M186" s="9"/>
      <c r="N186" s="9"/>
      <c r="O186" s="9"/>
      <c r="P186" s="9"/>
      <c r="Q186" s="9"/>
      <c r="R186" s="9"/>
      <c r="S186" s="9"/>
      <c r="T186" s="9"/>
      <c r="U186" s="9"/>
      <c r="V186" s="9"/>
      <c r="W186" s="9"/>
      <c r="X186" s="9"/>
      <c r="Y186" s="9"/>
      <c r="Z186" s="9"/>
      <c r="AA186" s="9"/>
      <c r="AB186" s="9"/>
      <c r="AC186" s="9"/>
      <c r="AD186" s="9"/>
      <c r="AE186" s="9"/>
      <c r="AF186" s="9"/>
      <c r="AG186" s="9"/>
      <c r="AH186" s="9"/>
      <c r="AI186" s="9"/>
      <c r="AJ186" s="9"/>
    </row>
    <row r="187" spans="1:36">
      <c r="A187" s="9"/>
      <c r="B187" s="9"/>
      <c r="C187" s="9"/>
      <c r="D187" s="9"/>
      <c r="E187" s="9"/>
      <c r="F187" s="9"/>
      <c r="G187" s="9"/>
      <c r="H187" s="9"/>
      <c r="I187" s="9"/>
      <c r="J187" s="9"/>
      <c r="K187" s="9"/>
      <c r="L187" s="9"/>
      <c r="M187" s="9"/>
      <c r="N187" s="9"/>
      <c r="O187" s="9"/>
      <c r="P187" s="9"/>
      <c r="Q187" s="9"/>
      <c r="R187" s="9"/>
      <c r="S187" s="9"/>
      <c r="T187" s="9"/>
      <c r="U187" s="9"/>
      <c r="V187" s="9"/>
      <c r="W187" s="9"/>
      <c r="X187" s="9"/>
      <c r="Y187" s="9"/>
      <c r="Z187" s="9"/>
      <c r="AA187" s="9"/>
      <c r="AB187" s="9"/>
      <c r="AC187" s="9"/>
      <c r="AD187" s="9"/>
      <c r="AE187" s="9"/>
      <c r="AF187" s="9"/>
      <c r="AG187" s="9"/>
      <c r="AH187" s="9"/>
      <c r="AI187" s="9"/>
      <c r="AJ187" s="9"/>
    </row>
    <row r="188" spans="1:36">
      <c r="A188" s="9"/>
      <c r="B188" s="9"/>
      <c r="C188" s="9"/>
      <c r="D188" s="9"/>
      <c r="E188" s="9"/>
      <c r="F188" s="9"/>
      <c r="G188" s="9"/>
      <c r="H188" s="9"/>
      <c r="I188" s="9"/>
      <c r="J188" s="9"/>
      <c r="K188" s="9"/>
      <c r="L188" s="9"/>
      <c r="M188" s="9"/>
      <c r="N188" s="9"/>
      <c r="O188" s="9"/>
      <c r="P188" s="9"/>
      <c r="Q188" s="9"/>
      <c r="R188" s="9"/>
      <c r="S188" s="9"/>
      <c r="T188" s="9"/>
      <c r="U188" s="9"/>
      <c r="V188" s="9"/>
      <c r="W188" s="9"/>
      <c r="X188" s="9"/>
      <c r="Y188" s="9"/>
      <c r="Z188" s="9"/>
      <c r="AA188" s="9"/>
      <c r="AB188" s="9"/>
      <c r="AC188" s="9"/>
      <c r="AD188" s="9"/>
      <c r="AE188" s="9"/>
      <c r="AF188" s="9"/>
      <c r="AG188" s="9"/>
      <c r="AH188" s="9"/>
      <c r="AI188" s="9"/>
      <c r="AJ188" s="9"/>
    </row>
    <row r="189" spans="1:36">
      <c r="A189" s="9"/>
      <c r="B189" s="9"/>
      <c r="C189" s="9"/>
      <c r="D189" s="9"/>
      <c r="E189" s="9"/>
      <c r="F189" s="9"/>
      <c r="G189" s="9"/>
      <c r="H189" s="9"/>
      <c r="I189" s="9"/>
      <c r="J189" s="9"/>
      <c r="K189" s="9"/>
      <c r="L189" s="9"/>
      <c r="M189" s="9"/>
      <c r="N189" s="9"/>
      <c r="O189" s="9"/>
      <c r="P189" s="9"/>
      <c r="Q189" s="9"/>
      <c r="R189" s="9"/>
      <c r="S189" s="9"/>
      <c r="T189" s="9"/>
      <c r="U189" s="9"/>
      <c r="V189" s="9"/>
      <c r="W189" s="9"/>
      <c r="X189" s="9"/>
      <c r="Y189" s="9"/>
      <c r="Z189" s="9"/>
      <c r="AA189" s="9"/>
      <c r="AB189" s="9"/>
      <c r="AC189" s="9"/>
      <c r="AD189" s="9"/>
      <c r="AE189" s="9"/>
      <c r="AF189" s="9"/>
      <c r="AG189" s="9"/>
      <c r="AH189" s="9"/>
      <c r="AI189" s="9"/>
      <c r="AJ189" s="9"/>
    </row>
    <row r="190" spans="1:36">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row>
    <row r="191" spans="1:36">
      <c r="A191" s="9"/>
      <c r="B191" s="9"/>
      <c r="C191" s="9"/>
      <c r="D191" s="9"/>
      <c r="E191" s="9"/>
      <c r="F191" s="9"/>
      <c r="G191" s="9"/>
      <c r="H191" s="9"/>
      <c r="I191" s="9"/>
      <c r="J191" s="9"/>
      <c r="K191" s="9"/>
      <c r="L191" s="9"/>
      <c r="M191" s="9"/>
      <c r="N191" s="9"/>
      <c r="O191" s="9"/>
      <c r="P191" s="9"/>
      <c r="Q191" s="9"/>
      <c r="R191" s="9"/>
      <c r="S191" s="9"/>
      <c r="T191" s="9"/>
      <c r="U191" s="9"/>
      <c r="V191" s="9"/>
      <c r="W191" s="9"/>
      <c r="X191" s="9"/>
      <c r="Y191" s="9"/>
      <c r="Z191" s="9"/>
      <c r="AA191" s="9"/>
      <c r="AB191" s="9"/>
      <c r="AC191" s="9"/>
      <c r="AD191" s="9"/>
      <c r="AE191" s="9"/>
      <c r="AF191" s="9"/>
      <c r="AG191" s="9"/>
      <c r="AH191" s="9"/>
      <c r="AI191" s="9"/>
      <c r="AJ191" s="9"/>
    </row>
    <row r="192" spans="1:36">
      <c r="A192" s="9"/>
      <c r="B192" s="9"/>
      <c r="C192" s="9"/>
      <c r="D192" s="9"/>
      <c r="E192" s="9"/>
      <c r="F192" s="9"/>
      <c r="G192" s="9"/>
      <c r="H192" s="9"/>
      <c r="I192" s="9"/>
      <c r="J192" s="9"/>
      <c r="K192" s="9"/>
      <c r="L192" s="9"/>
      <c r="M192" s="9"/>
      <c r="N192" s="9"/>
      <c r="O192" s="9"/>
      <c r="P192" s="9"/>
      <c r="Q192" s="9"/>
      <c r="R192" s="9"/>
      <c r="S192" s="9"/>
      <c r="T192" s="9"/>
      <c r="U192" s="9"/>
      <c r="V192" s="9"/>
      <c r="W192" s="9"/>
      <c r="X192" s="9"/>
      <c r="Y192" s="9"/>
      <c r="Z192" s="9"/>
      <c r="AA192" s="9"/>
      <c r="AB192" s="9"/>
      <c r="AC192" s="9"/>
      <c r="AD192" s="9"/>
      <c r="AE192" s="9"/>
      <c r="AF192" s="9"/>
      <c r="AG192" s="9"/>
      <c r="AH192" s="9"/>
      <c r="AI192" s="9"/>
      <c r="AJ192" s="9"/>
    </row>
    <row r="193" spans="1:36">
      <c r="A193" s="9"/>
      <c r="B193" s="9"/>
      <c r="C193" s="9"/>
      <c r="D193" s="9"/>
      <c r="E193" s="9"/>
      <c r="F193" s="9"/>
      <c r="G193" s="9"/>
      <c r="H193" s="9"/>
      <c r="I193" s="9"/>
      <c r="J193" s="9"/>
      <c r="K193" s="9"/>
      <c r="L193" s="9"/>
      <c r="M193" s="9"/>
      <c r="N193" s="9"/>
      <c r="O193" s="9"/>
      <c r="P193" s="9"/>
      <c r="Q193" s="9"/>
      <c r="R193" s="9"/>
      <c r="S193" s="9"/>
      <c r="T193" s="9"/>
      <c r="U193" s="9"/>
      <c r="V193" s="9"/>
      <c r="W193" s="9"/>
      <c r="X193" s="9"/>
      <c r="Y193" s="9"/>
      <c r="Z193" s="9"/>
      <c r="AA193" s="9"/>
      <c r="AB193" s="9"/>
      <c r="AC193" s="9"/>
      <c r="AD193" s="9"/>
      <c r="AE193" s="9"/>
      <c r="AF193" s="9"/>
      <c r="AG193" s="9"/>
      <c r="AH193" s="9"/>
      <c r="AI193" s="9"/>
      <c r="AJ193" s="9"/>
    </row>
    <row r="194" spans="1:36">
      <c r="A194" s="9"/>
      <c r="B194" s="9"/>
      <c r="C194" s="9"/>
      <c r="D194" s="9"/>
      <c r="E194" s="9"/>
      <c r="F194" s="9"/>
      <c r="G194" s="9"/>
      <c r="H194" s="9"/>
      <c r="I194" s="9"/>
      <c r="J194" s="9"/>
      <c r="K194" s="9"/>
      <c r="L194" s="9"/>
      <c r="M194" s="9"/>
      <c r="N194" s="9"/>
      <c r="O194" s="9"/>
      <c r="P194" s="9"/>
      <c r="Q194" s="9"/>
      <c r="R194" s="9"/>
      <c r="S194" s="9"/>
      <c r="T194" s="9"/>
      <c r="U194" s="9"/>
      <c r="V194" s="9"/>
      <c r="W194" s="9"/>
      <c r="X194" s="9"/>
      <c r="Y194" s="9"/>
      <c r="Z194" s="9"/>
      <c r="AA194" s="9"/>
      <c r="AB194" s="9"/>
      <c r="AC194" s="9"/>
      <c r="AD194" s="9"/>
      <c r="AE194" s="9"/>
      <c r="AF194" s="9"/>
      <c r="AG194" s="9"/>
      <c r="AH194" s="9"/>
      <c r="AI194" s="9"/>
      <c r="AJ194" s="9"/>
    </row>
    <row r="195" spans="1:36">
      <c r="A195" s="9"/>
      <c r="B195" s="9"/>
      <c r="C195" s="9"/>
      <c r="D195" s="9"/>
      <c r="E195" s="9"/>
      <c r="F195" s="9"/>
      <c r="G195" s="9"/>
      <c r="H195" s="9"/>
      <c r="I195" s="9"/>
      <c r="J195" s="9"/>
      <c r="K195" s="9"/>
      <c r="L195" s="9"/>
      <c r="M195" s="9"/>
      <c r="N195" s="9"/>
      <c r="O195" s="9"/>
      <c r="P195" s="9"/>
      <c r="Q195" s="9"/>
      <c r="R195" s="9"/>
      <c r="S195" s="9"/>
      <c r="T195" s="9"/>
      <c r="U195" s="9"/>
      <c r="V195" s="9"/>
      <c r="W195" s="9"/>
      <c r="X195" s="9"/>
      <c r="Y195" s="9"/>
      <c r="Z195" s="9"/>
      <c r="AA195" s="9"/>
      <c r="AB195" s="9"/>
      <c r="AC195" s="9"/>
      <c r="AD195" s="9"/>
      <c r="AE195" s="9"/>
      <c r="AF195" s="9"/>
      <c r="AG195" s="9"/>
      <c r="AH195" s="9"/>
      <c r="AI195" s="9"/>
      <c r="AJ195" s="9"/>
    </row>
    <row r="196" spans="1:36">
      <c r="A196" s="9"/>
      <c r="B196" s="9"/>
      <c r="C196" s="9"/>
      <c r="D196" s="9"/>
      <c r="E196" s="9"/>
      <c r="F196" s="9"/>
      <c r="G196" s="9"/>
      <c r="H196" s="9"/>
      <c r="I196" s="9"/>
      <c r="J196" s="9"/>
      <c r="K196" s="9"/>
      <c r="L196" s="9"/>
      <c r="M196" s="9"/>
      <c r="N196" s="9"/>
      <c r="O196" s="9"/>
      <c r="P196" s="9"/>
      <c r="Q196" s="9"/>
      <c r="R196" s="9"/>
      <c r="S196" s="9"/>
      <c r="T196" s="9"/>
      <c r="U196" s="9"/>
      <c r="V196" s="9"/>
      <c r="W196" s="9"/>
      <c r="X196" s="9"/>
      <c r="Y196" s="9"/>
      <c r="Z196" s="9"/>
      <c r="AA196" s="9"/>
      <c r="AB196" s="9"/>
      <c r="AC196" s="9"/>
      <c r="AD196" s="9"/>
      <c r="AE196" s="9"/>
      <c r="AF196" s="9"/>
      <c r="AG196" s="9"/>
      <c r="AH196" s="9"/>
      <c r="AI196" s="9"/>
      <c r="AJ196" s="9"/>
    </row>
    <row r="197" spans="1:36">
      <c r="A197" s="9"/>
      <c r="B197" s="9"/>
      <c r="C197" s="9"/>
      <c r="D197" s="9"/>
      <c r="E197" s="9"/>
      <c r="F197" s="9"/>
      <c r="G197" s="9"/>
      <c r="H197" s="9"/>
      <c r="I197" s="9"/>
      <c r="J197" s="9"/>
      <c r="K197" s="9"/>
      <c r="L197" s="9"/>
      <c r="M197" s="9"/>
      <c r="N197" s="9"/>
      <c r="O197" s="9"/>
      <c r="P197" s="9"/>
      <c r="Q197" s="9"/>
      <c r="R197" s="9"/>
      <c r="S197" s="9"/>
      <c r="T197" s="9"/>
      <c r="U197" s="9"/>
      <c r="V197" s="9"/>
      <c r="W197" s="9"/>
      <c r="X197" s="9"/>
      <c r="Y197" s="9"/>
      <c r="Z197" s="9"/>
      <c r="AA197" s="9"/>
      <c r="AB197" s="9"/>
      <c r="AC197" s="9"/>
      <c r="AD197" s="9"/>
      <c r="AE197" s="9"/>
      <c r="AF197" s="9"/>
      <c r="AG197" s="9"/>
      <c r="AH197" s="9"/>
      <c r="AI197" s="9"/>
      <c r="AJ197" s="9"/>
    </row>
    <row r="198" spans="1:36">
      <c r="A198" s="9"/>
      <c r="B198" s="9"/>
      <c r="C198" s="9"/>
      <c r="D198" s="9"/>
      <c r="E198" s="9"/>
      <c r="F198" s="9"/>
      <c r="G198" s="9"/>
      <c r="H198" s="9"/>
      <c r="I198" s="9"/>
      <c r="J198" s="9"/>
      <c r="K198" s="9"/>
      <c r="L198" s="9"/>
      <c r="M198" s="9"/>
      <c r="N198" s="9"/>
      <c r="O198" s="9"/>
      <c r="P198" s="9"/>
      <c r="Q198" s="9"/>
      <c r="R198" s="9"/>
      <c r="S198" s="9"/>
      <c r="T198" s="9"/>
      <c r="U198" s="9"/>
      <c r="V198" s="9"/>
      <c r="W198" s="9"/>
      <c r="X198" s="9"/>
      <c r="Y198" s="9"/>
      <c r="Z198" s="9"/>
      <c r="AA198" s="9"/>
      <c r="AB198" s="9"/>
      <c r="AC198" s="9"/>
      <c r="AD198" s="9"/>
      <c r="AE198" s="9"/>
      <c r="AF198" s="9"/>
      <c r="AG198" s="9"/>
      <c r="AH198" s="9"/>
      <c r="AI198" s="9"/>
      <c r="AJ198" s="9"/>
    </row>
    <row r="199" spans="1:36">
      <c r="A199" s="9"/>
      <c r="B199" s="9"/>
      <c r="C199" s="9"/>
      <c r="D199" s="9"/>
      <c r="E199" s="9"/>
      <c r="F199" s="9"/>
      <c r="G199" s="9"/>
      <c r="H199" s="9"/>
      <c r="I199" s="9"/>
      <c r="J199" s="9"/>
      <c r="K199" s="9"/>
      <c r="L199" s="9"/>
      <c r="M199" s="9"/>
      <c r="N199" s="9"/>
      <c r="O199" s="9"/>
      <c r="P199" s="9"/>
      <c r="Q199" s="9"/>
      <c r="R199" s="9"/>
      <c r="S199" s="9"/>
      <c r="T199" s="9"/>
      <c r="U199" s="9"/>
      <c r="V199" s="9"/>
      <c r="W199" s="9"/>
      <c r="X199" s="9"/>
      <c r="Y199" s="9"/>
      <c r="Z199" s="9"/>
      <c r="AA199" s="9"/>
      <c r="AB199" s="9"/>
      <c r="AC199" s="9"/>
      <c r="AD199" s="9"/>
      <c r="AE199" s="9"/>
      <c r="AF199" s="9"/>
      <c r="AG199" s="9"/>
      <c r="AH199" s="9"/>
      <c r="AI199" s="9"/>
      <c r="AJ199" s="9"/>
    </row>
    <row r="200" spans="1:36">
      <c r="A200" s="9"/>
      <c r="B200" s="9"/>
      <c r="C200" s="9"/>
      <c r="D200" s="9"/>
      <c r="E200" s="9"/>
      <c r="F200" s="9"/>
      <c r="G200" s="9"/>
      <c r="H200" s="9"/>
      <c r="I200" s="9"/>
      <c r="J200" s="9"/>
      <c r="K200" s="9"/>
      <c r="L200" s="9"/>
      <c r="M200" s="9"/>
      <c r="N200" s="9"/>
      <c r="O200" s="9"/>
      <c r="P200" s="9"/>
      <c r="Q200" s="9"/>
      <c r="R200" s="9"/>
      <c r="S200" s="9"/>
      <c r="T200" s="9"/>
      <c r="U200" s="9"/>
      <c r="V200" s="9"/>
      <c r="W200" s="9"/>
      <c r="X200" s="9"/>
      <c r="Y200" s="9"/>
      <c r="Z200" s="9"/>
      <c r="AA200" s="9"/>
      <c r="AB200" s="9"/>
      <c r="AC200" s="9"/>
      <c r="AD200" s="9"/>
      <c r="AE200" s="9"/>
      <c r="AF200" s="9"/>
      <c r="AG200" s="9"/>
      <c r="AH200" s="9"/>
      <c r="AI200" s="9"/>
      <c r="AJ200" s="9"/>
    </row>
    <row r="201" spans="1:36">
      <c r="A201" s="9"/>
      <c r="B201" s="9"/>
      <c r="C201" s="9"/>
      <c r="D201" s="9"/>
      <c r="E201" s="9"/>
      <c r="F201" s="9"/>
      <c r="G201" s="9"/>
      <c r="H201" s="9"/>
      <c r="I201" s="9"/>
      <c r="J201" s="9"/>
      <c r="K201" s="9"/>
      <c r="L201" s="9"/>
      <c r="M201" s="9"/>
      <c r="N201" s="9"/>
      <c r="O201" s="9"/>
      <c r="P201" s="9"/>
      <c r="Q201" s="9"/>
      <c r="R201" s="9"/>
      <c r="S201" s="9"/>
      <c r="T201" s="9"/>
      <c r="U201" s="9"/>
      <c r="V201" s="9"/>
      <c r="W201" s="9"/>
      <c r="X201" s="9"/>
      <c r="Y201" s="9"/>
      <c r="Z201" s="9"/>
      <c r="AA201" s="9"/>
      <c r="AB201" s="9"/>
      <c r="AC201" s="9"/>
      <c r="AD201" s="9"/>
      <c r="AE201" s="9"/>
      <c r="AF201" s="9"/>
      <c r="AG201" s="9"/>
      <c r="AH201" s="9"/>
      <c r="AI201" s="9"/>
      <c r="AJ201" s="9"/>
    </row>
    <row r="202" spans="1:36">
      <c r="A202" s="9"/>
      <c r="B202" s="9"/>
      <c r="C202" s="9"/>
      <c r="D202" s="9"/>
      <c r="E202" s="9"/>
      <c r="F202" s="9"/>
      <c r="G202" s="9"/>
      <c r="H202" s="9"/>
      <c r="I202" s="9"/>
      <c r="J202" s="9"/>
      <c r="K202" s="9"/>
      <c r="L202" s="9"/>
      <c r="M202" s="9"/>
      <c r="N202" s="9"/>
      <c r="O202" s="9"/>
      <c r="P202" s="9"/>
      <c r="Q202" s="9"/>
      <c r="R202" s="9"/>
      <c r="S202" s="9"/>
      <c r="T202" s="9"/>
      <c r="U202" s="9"/>
      <c r="V202" s="9"/>
      <c r="W202" s="9"/>
      <c r="X202" s="9"/>
      <c r="Y202" s="9"/>
      <c r="Z202" s="9"/>
      <c r="AA202" s="9"/>
      <c r="AB202" s="9"/>
      <c r="AC202" s="9"/>
      <c r="AD202" s="9"/>
      <c r="AE202" s="9"/>
      <c r="AF202" s="9"/>
      <c r="AG202" s="9"/>
      <c r="AH202" s="9"/>
      <c r="AI202" s="9"/>
      <c r="AJ202" s="9"/>
    </row>
    <row r="203" spans="1:36">
      <c r="A203" s="9"/>
      <c r="B203" s="9"/>
      <c r="C203" s="9"/>
      <c r="D203" s="9"/>
      <c r="E203" s="9"/>
      <c r="F203" s="9"/>
      <c r="G203" s="9"/>
      <c r="H203" s="9"/>
      <c r="I203" s="9"/>
      <c r="J203" s="9"/>
      <c r="K203" s="9"/>
      <c r="L203" s="9"/>
      <c r="M203" s="9"/>
      <c r="N203" s="9"/>
      <c r="O203" s="9"/>
      <c r="P203" s="9"/>
      <c r="Q203" s="9"/>
      <c r="R203" s="9"/>
      <c r="S203" s="9"/>
      <c r="T203" s="9"/>
      <c r="U203" s="9"/>
      <c r="V203" s="9"/>
      <c r="W203" s="9"/>
      <c r="X203" s="9"/>
      <c r="Y203" s="9"/>
      <c r="Z203" s="9"/>
      <c r="AA203" s="9"/>
      <c r="AB203" s="9"/>
      <c r="AC203" s="9"/>
      <c r="AD203" s="9"/>
      <c r="AE203" s="9"/>
      <c r="AF203" s="9"/>
      <c r="AG203" s="9"/>
      <c r="AH203" s="9"/>
      <c r="AI203" s="9"/>
      <c r="AJ203" s="9"/>
    </row>
    <row r="204" spans="1:36">
      <c r="A204" s="9"/>
      <c r="B204" s="9"/>
      <c r="C204" s="9"/>
      <c r="D204" s="9"/>
      <c r="E204" s="9"/>
      <c r="F204" s="9"/>
      <c r="G204" s="9"/>
      <c r="H204" s="9"/>
      <c r="I204" s="9"/>
      <c r="J204" s="9"/>
      <c r="K204" s="9"/>
      <c r="L204" s="9"/>
      <c r="M204" s="9"/>
      <c r="N204" s="9"/>
      <c r="O204" s="9"/>
      <c r="P204" s="9"/>
      <c r="Q204" s="9"/>
      <c r="R204" s="9"/>
      <c r="S204" s="9"/>
      <c r="T204" s="9"/>
      <c r="U204" s="9"/>
      <c r="V204" s="9"/>
      <c r="W204" s="9"/>
      <c r="X204" s="9"/>
      <c r="Y204" s="9"/>
      <c r="Z204" s="9"/>
      <c r="AA204" s="9"/>
      <c r="AB204" s="9"/>
      <c r="AC204" s="9"/>
      <c r="AD204" s="9"/>
      <c r="AE204" s="9"/>
      <c r="AF204" s="9"/>
      <c r="AG204" s="9"/>
      <c r="AH204" s="9"/>
      <c r="AI204" s="9"/>
      <c r="AJ204" s="9"/>
    </row>
    <row r="205" spans="1:36">
      <c r="A205" s="9"/>
      <c r="B205" s="9"/>
      <c r="C205" s="9"/>
      <c r="D205" s="9"/>
      <c r="E205" s="9"/>
      <c r="F205" s="9"/>
      <c r="G205" s="9"/>
      <c r="H205" s="9"/>
      <c r="I205" s="9"/>
      <c r="J205" s="9"/>
      <c r="K205" s="9"/>
      <c r="L205" s="9"/>
      <c r="M205" s="9"/>
      <c r="N205" s="9"/>
      <c r="O205" s="9"/>
      <c r="P205" s="9"/>
      <c r="Q205" s="9"/>
      <c r="R205" s="9"/>
      <c r="S205" s="9"/>
      <c r="T205" s="9"/>
      <c r="U205" s="9"/>
      <c r="V205" s="9"/>
      <c r="W205" s="9"/>
      <c r="X205" s="9"/>
      <c r="Y205" s="9"/>
      <c r="Z205" s="9"/>
      <c r="AA205" s="9"/>
      <c r="AB205" s="9"/>
      <c r="AC205" s="9"/>
      <c r="AD205" s="9"/>
      <c r="AE205" s="9"/>
      <c r="AF205" s="9"/>
      <c r="AG205" s="9"/>
      <c r="AH205" s="9"/>
      <c r="AI205" s="9"/>
      <c r="AJ205" s="9"/>
    </row>
    <row r="206" spans="1:36">
      <c r="A206" s="9"/>
      <c r="B206" s="9"/>
      <c r="C206" s="9"/>
      <c r="D206" s="9"/>
      <c r="E206" s="9"/>
      <c r="F206" s="9"/>
      <c r="G206" s="9"/>
      <c r="H206" s="9"/>
      <c r="I206" s="9"/>
      <c r="J206" s="9"/>
      <c r="K206" s="9"/>
      <c r="L206" s="9"/>
      <c r="M206" s="9"/>
      <c r="N206" s="9"/>
      <c r="O206" s="9"/>
      <c r="P206" s="9"/>
      <c r="Q206" s="9"/>
      <c r="R206" s="9"/>
      <c r="S206" s="9"/>
      <c r="T206" s="9"/>
      <c r="U206" s="9"/>
      <c r="V206" s="9"/>
      <c r="W206" s="9"/>
      <c r="X206" s="9"/>
      <c r="Y206" s="9"/>
      <c r="Z206" s="9"/>
      <c r="AA206" s="9"/>
      <c r="AB206" s="9"/>
      <c r="AC206" s="9"/>
      <c r="AD206" s="9"/>
      <c r="AE206" s="9"/>
      <c r="AF206" s="9"/>
      <c r="AG206" s="9"/>
      <c r="AH206" s="9"/>
      <c r="AI206" s="9"/>
      <c r="AJ206" s="9"/>
    </row>
    <row r="207" spans="1:36">
      <c r="A207" s="9"/>
      <c r="B207" s="9"/>
      <c r="C207" s="9"/>
      <c r="D207" s="9"/>
      <c r="E207" s="9"/>
      <c r="F207" s="9"/>
      <c r="G207" s="9"/>
      <c r="H207" s="9"/>
      <c r="I207" s="9"/>
      <c r="J207" s="9"/>
      <c r="K207" s="9"/>
      <c r="L207" s="9"/>
      <c r="M207" s="9"/>
      <c r="N207" s="9"/>
      <c r="O207" s="9"/>
      <c r="P207" s="9"/>
      <c r="Q207" s="9"/>
      <c r="R207" s="9"/>
      <c r="S207" s="9"/>
      <c r="T207" s="9"/>
      <c r="U207" s="9"/>
      <c r="V207" s="9"/>
      <c r="W207" s="9"/>
      <c r="X207" s="9"/>
      <c r="Y207" s="9"/>
      <c r="Z207" s="9"/>
      <c r="AA207" s="9"/>
      <c r="AB207" s="9"/>
      <c r="AC207" s="9"/>
      <c r="AD207" s="9"/>
      <c r="AE207" s="9"/>
      <c r="AF207" s="9"/>
      <c r="AG207" s="9"/>
      <c r="AH207" s="9"/>
      <c r="AI207" s="9"/>
      <c r="AJ207" s="9"/>
    </row>
    <row r="208" spans="1:36">
      <c r="A208" s="9"/>
      <c r="B208" s="9"/>
      <c r="C208" s="9"/>
      <c r="D208" s="9"/>
      <c r="E208" s="9"/>
      <c r="F208" s="9"/>
      <c r="G208" s="9"/>
      <c r="H208" s="9"/>
      <c r="I208" s="9"/>
      <c r="J208" s="9"/>
      <c r="K208" s="9"/>
      <c r="L208" s="9"/>
      <c r="M208" s="9"/>
      <c r="N208" s="9"/>
      <c r="O208" s="9"/>
      <c r="P208" s="9"/>
      <c r="Q208" s="9"/>
      <c r="R208" s="9"/>
      <c r="S208" s="9"/>
      <c r="T208" s="9"/>
      <c r="U208" s="9"/>
      <c r="V208" s="9"/>
      <c r="W208" s="9"/>
      <c r="X208" s="9"/>
      <c r="Y208" s="9"/>
      <c r="Z208" s="9"/>
      <c r="AA208" s="9"/>
      <c r="AB208" s="9"/>
      <c r="AC208" s="9"/>
      <c r="AD208" s="9"/>
      <c r="AE208" s="9"/>
      <c r="AF208" s="9"/>
      <c r="AG208" s="9"/>
      <c r="AH208" s="9"/>
      <c r="AI208" s="9"/>
      <c r="AJ208" s="9"/>
    </row>
    <row r="209" spans="1:36">
      <c r="A209" s="9"/>
      <c r="B209" s="9"/>
      <c r="C209" s="9"/>
      <c r="D209" s="9"/>
      <c r="E209" s="9"/>
      <c r="F209" s="9"/>
      <c r="G209" s="9"/>
      <c r="H209" s="9"/>
      <c r="I209" s="9"/>
      <c r="J209" s="9"/>
      <c r="K209" s="9"/>
      <c r="L209" s="9"/>
      <c r="M209" s="9"/>
      <c r="N209" s="9"/>
      <c r="O209" s="9"/>
      <c r="P209" s="9"/>
      <c r="Q209" s="9"/>
      <c r="R209" s="9"/>
      <c r="S209" s="9"/>
      <c r="T209" s="9"/>
      <c r="U209" s="9"/>
      <c r="V209" s="9"/>
      <c r="W209" s="9"/>
      <c r="X209" s="9"/>
      <c r="Y209" s="9"/>
      <c r="Z209" s="9"/>
      <c r="AA209" s="9"/>
      <c r="AB209" s="9"/>
      <c r="AC209" s="9"/>
      <c r="AD209" s="9"/>
      <c r="AE209" s="9"/>
      <c r="AF209" s="9"/>
      <c r="AG209" s="9"/>
      <c r="AH209" s="9"/>
      <c r="AI209" s="9"/>
      <c r="AJ209" s="9"/>
    </row>
    <row r="210" spans="1:36">
      <c r="A210" s="9"/>
      <c r="B210" s="9"/>
      <c r="C210" s="9"/>
      <c r="D210" s="9"/>
      <c r="E210" s="9"/>
      <c r="F210" s="9"/>
      <c r="G210" s="9"/>
      <c r="H210" s="9"/>
      <c r="I210" s="9"/>
      <c r="J210" s="9"/>
      <c r="K210" s="9"/>
      <c r="L210" s="9"/>
      <c r="M210" s="9"/>
      <c r="N210" s="9"/>
      <c r="O210" s="9"/>
      <c r="P210" s="9"/>
      <c r="Q210" s="9"/>
      <c r="R210" s="9"/>
      <c r="S210" s="9"/>
      <c r="T210" s="9"/>
      <c r="U210" s="9"/>
      <c r="V210" s="9"/>
      <c r="W210" s="9"/>
      <c r="X210" s="9"/>
      <c r="Y210" s="9"/>
      <c r="Z210" s="9"/>
      <c r="AA210" s="9"/>
      <c r="AB210" s="9"/>
      <c r="AC210" s="9"/>
      <c r="AD210" s="9"/>
      <c r="AE210" s="9"/>
      <c r="AF210" s="9"/>
      <c r="AG210" s="9"/>
      <c r="AH210" s="9"/>
      <c r="AI210" s="9"/>
      <c r="AJ210" s="9"/>
    </row>
    <row r="211" spans="1:36">
      <c r="A211" s="9"/>
      <c r="B211" s="9"/>
      <c r="C211" s="9"/>
      <c r="D211" s="9"/>
      <c r="E211" s="9"/>
      <c r="F211" s="9"/>
      <c r="G211" s="9"/>
      <c r="H211" s="9"/>
      <c r="I211" s="9"/>
      <c r="J211" s="9"/>
      <c r="K211" s="9"/>
      <c r="L211" s="9"/>
      <c r="M211" s="9"/>
      <c r="N211" s="9"/>
      <c r="O211" s="9"/>
      <c r="P211" s="9"/>
      <c r="Q211" s="9"/>
      <c r="R211" s="9"/>
      <c r="S211" s="9"/>
      <c r="T211" s="9"/>
      <c r="U211" s="9"/>
      <c r="V211" s="9"/>
      <c r="W211" s="9"/>
      <c r="X211" s="9"/>
      <c r="Y211" s="9"/>
      <c r="Z211" s="9"/>
      <c r="AA211" s="9"/>
      <c r="AB211" s="9"/>
      <c r="AC211" s="9"/>
      <c r="AD211" s="9"/>
      <c r="AE211" s="9"/>
      <c r="AF211" s="9"/>
      <c r="AG211" s="9"/>
      <c r="AH211" s="9"/>
      <c r="AI211" s="9"/>
      <c r="AJ211" s="9"/>
    </row>
    <row r="212" spans="1:36">
      <c r="A212" s="9"/>
      <c r="B212" s="9"/>
      <c r="C212" s="9"/>
      <c r="D212" s="9"/>
      <c r="E212" s="9"/>
      <c r="F212" s="9"/>
      <c r="G212" s="9"/>
      <c r="H212" s="9"/>
      <c r="I212" s="9"/>
      <c r="J212" s="9"/>
      <c r="K212" s="9"/>
      <c r="L212" s="9"/>
      <c r="M212" s="9"/>
      <c r="N212" s="9"/>
      <c r="O212" s="9"/>
      <c r="P212" s="9"/>
      <c r="Q212" s="9"/>
      <c r="R212" s="9"/>
      <c r="S212" s="9"/>
      <c r="T212" s="9"/>
      <c r="U212" s="9"/>
      <c r="V212" s="9"/>
      <c r="W212" s="9"/>
      <c r="X212" s="9"/>
      <c r="Y212" s="9"/>
      <c r="Z212" s="9"/>
      <c r="AA212" s="9"/>
      <c r="AB212" s="9"/>
      <c r="AC212" s="9"/>
      <c r="AD212" s="9"/>
      <c r="AE212" s="9"/>
      <c r="AF212" s="9"/>
      <c r="AG212" s="9"/>
      <c r="AH212" s="9"/>
      <c r="AI212" s="9"/>
      <c r="AJ212" s="9"/>
    </row>
    <row r="213" spans="1:36">
      <c r="A213" s="9"/>
      <c r="B213" s="9"/>
      <c r="C213" s="9"/>
      <c r="D213" s="9"/>
      <c r="E213" s="9"/>
      <c r="F213" s="9"/>
      <c r="G213" s="9"/>
      <c r="H213" s="9"/>
      <c r="I213" s="9"/>
      <c r="J213" s="9"/>
      <c r="K213" s="9"/>
      <c r="L213" s="9"/>
      <c r="M213" s="9"/>
      <c r="N213" s="9"/>
      <c r="O213" s="9"/>
      <c r="P213" s="9"/>
      <c r="Q213" s="9"/>
      <c r="R213" s="9"/>
      <c r="S213" s="9"/>
      <c r="T213" s="9"/>
      <c r="U213" s="9"/>
      <c r="V213" s="9"/>
      <c r="W213" s="9"/>
      <c r="X213" s="9"/>
      <c r="Y213" s="9"/>
      <c r="Z213" s="9"/>
      <c r="AA213" s="9"/>
      <c r="AB213" s="9"/>
      <c r="AC213" s="9"/>
      <c r="AD213" s="9"/>
      <c r="AE213" s="9"/>
      <c r="AF213" s="9"/>
      <c r="AG213" s="9"/>
      <c r="AH213" s="9"/>
      <c r="AI213" s="9"/>
      <c r="AJ213" s="9"/>
    </row>
    <row r="214" spans="1:36">
      <c r="A214" s="9"/>
      <c r="B214" s="9"/>
      <c r="C214" s="9"/>
      <c r="D214" s="9"/>
      <c r="E214" s="9"/>
      <c r="F214" s="9"/>
      <c r="G214" s="9"/>
      <c r="H214" s="9"/>
      <c r="I214" s="9"/>
      <c r="J214" s="9"/>
      <c r="K214" s="9"/>
      <c r="L214" s="9"/>
      <c r="M214" s="9"/>
      <c r="N214" s="9"/>
      <c r="O214" s="9"/>
      <c r="P214" s="9"/>
      <c r="Q214" s="9"/>
      <c r="R214" s="9"/>
      <c r="S214" s="9"/>
      <c r="T214" s="9"/>
      <c r="U214" s="9"/>
      <c r="V214" s="9"/>
      <c r="W214" s="9"/>
      <c r="X214" s="9"/>
      <c r="Y214" s="9"/>
      <c r="Z214" s="9"/>
      <c r="AA214" s="9"/>
      <c r="AB214" s="9"/>
      <c r="AC214" s="9"/>
      <c r="AD214" s="9"/>
      <c r="AE214" s="9"/>
      <c r="AF214" s="9"/>
      <c r="AG214" s="9"/>
      <c r="AH214" s="9"/>
      <c r="AI214" s="9"/>
      <c r="AJ214" s="9"/>
    </row>
    <row r="215" spans="1:36">
      <c r="A215" s="9"/>
      <c r="B215" s="9"/>
      <c r="C215" s="9"/>
      <c r="D215" s="9"/>
      <c r="E215" s="9"/>
      <c r="F215" s="9"/>
      <c r="G215" s="9"/>
      <c r="H215" s="9"/>
      <c r="I215" s="9"/>
      <c r="J215" s="9"/>
      <c r="K215" s="9"/>
      <c r="L215" s="9"/>
      <c r="M215" s="9"/>
      <c r="N215" s="9"/>
      <c r="O215" s="9"/>
      <c r="P215" s="9"/>
      <c r="Q215" s="9"/>
      <c r="R215" s="9"/>
      <c r="S215" s="9"/>
      <c r="T215" s="9"/>
      <c r="U215" s="9"/>
      <c r="V215" s="9"/>
      <c r="W215" s="9"/>
      <c r="X215" s="9"/>
      <c r="Y215" s="9"/>
      <c r="Z215" s="9"/>
      <c r="AA215" s="9"/>
      <c r="AB215" s="9"/>
      <c r="AC215" s="9"/>
      <c r="AD215" s="9"/>
      <c r="AE215" s="9"/>
      <c r="AF215" s="9"/>
      <c r="AG215" s="9"/>
      <c r="AH215" s="9"/>
      <c r="AI215" s="9"/>
      <c r="AJ215" s="9"/>
    </row>
    <row r="216" spans="1:36">
      <c r="A216" s="9"/>
      <c r="B216" s="9"/>
      <c r="C216" s="9"/>
      <c r="D216" s="9"/>
      <c r="E216" s="9"/>
      <c r="F216" s="9"/>
      <c r="G216" s="9"/>
      <c r="H216" s="9"/>
      <c r="I216" s="9"/>
      <c r="J216" s="9"/>
      <c r="K216" s="9"/>
      <c r="L216" s="9"/>
      <c r="M216" s="9"/>
      <c r="N216" s="9"/>
      <c r="O216" s="9"/>
      <c r="P216" s="9"/>
      <c r="Q216" s="9"/>
      <c r="R216" s="9"/>
      <c r="S216" s="9"/>
      <c r="T216" s="9"/>
      <c r="U216" s="9"/>
      <c r="V216" s="9"/>
      <c r="W216" s="9"/>
      <c r="X216" s="9"/>
      <c r="Y216" s="9"/>
      <c r="Z216" s="9"/>
      <c r="AA216" s="9"/>
      <c r="AB216" s="9"/>
      <c r="AC216" s="9"/>
      <c r="AD216" s="9"/>
      <c r="AE216" s="9"/>
      <c r="AF216" s="9"/>
      <c r="AG216" s="9"/>
      <c r="AH216" s="9"/>
      <c r="AI216" s="9"/>
      <c r="AJ216" s="9"/>
    </row>
    <row r="217" spans="1:36">
      <c r="A217" s="9"/>
      <c r="B217" s="9"/>
      <c r="C217" s="9"/>
      <c r="D217" s="9"/>
      <c r="E217" s="9"/>
      <c r="F217" s="9"/>
      <c r="G217" s="9"/>
      <c r="H217" s="9"/>
      <c r="I217" s="9"/>
      <c r="J217" s="9"/>
      <c r="K217" s="9"/>
      <c r="L217" s="9"/>
      <c r="M217" s="9"/>
      <c r="N217" s="9"/>
      <c r="O217" s="9"/>
      <c r="P217" s="9"/>
      <c r="Q217" s="9"/>
      <c r="R217" s="9"/>
      <c r="S217" s="9"/>
      <c r="T217" s="9"/>
      <c r="U217" s="9"/>
      <c r="V217" s="9"/>
      <c r="W217" s="9"/>
      <c r="X217" s="9"/>
      <c r="Y217" s="9"/>
      <c r="Z217" s="9"/>
      <c r="AA217" s="9"/>
      <c r="AB217" s="9"/>
      <c r="AC217" s="9"/>
      <c r="AD217" s="9"/>
      <c r="AE217" s="9"/>
      <c r="AF217" s="9"/>
      <c r="AG217" s="9"/>
      <c r="AH217" s="9"/>
      <c r="AI217" s="9"/>
      <c r="AJ217" s="9"/>
    </row>
    <row r="218" spans="1:36">
      <c r="A218" s="9"/>
      <c r="B218" s="9"/>
      <c r="C218" s="9"/>
      <c r="D218" s="9"/>
      <c r="E218" s="9"/>
      <c r="F218" s="9"/>
      <c r="G218" s="9"/>
      <c r="H218" s="9"/>
      <c r="I218" s="9"/>
      <c r="J218" s="9"/>
      <c r="K218" s="9"/>
      <c r="L218" s="9"/>
      <c r="M218" s="9"/>
      <c r="N218" s="9"/>
      <c r="O218" s="9"/>
      <c r="P218" s="9"/>
      <c r="Q218" s="9"/>
      <c r="R218" s="9"/>
      <c r="S218" s="9"/>
      <c r="T218" s="9"/>
      <c r="U218" s="9"/>
      <c r="V218" s="9"/>
      <c r="W218" s="9"/>
      <c r="X218" s="9"/>
      <c r="Y218" s="9"/>
      <c r="Z218" s="9"/>
      <c r="AA218" s="9"/>
      <c r="AB218" s="9"/>
      <c r="AC218" s="9"/>
      <c r="AD218" s="9"/>
      <c r="AE218" s="9"/>
      <c r="AF218" s="9"/>
      <c r="AG218" s="9"/>
      <c r="AH218" s="9"/>
      <c r="AI218" s="9"/>
      <c r="AJ218" s="9"/>
    </row>
    <row r="219" spans="1:36">
      <c r="A219" s="9"/>
      <c r="B219" s="9"/>
      <c r="C219" s="9"/>
      <c r="D219" s="9"/>
      <c r="E219" s="9"/>
      <c r="F219" s="9"/>
      <c r="G219" s="9"/>
      <c r="H219" s="9"/>
      <c r="I219" s="9"/>
      <c r="J219" s="9"/>
      <c r="K219" s="9"/>
      <c r="L219" s="9"/>
      <c r="M219" s="9"/>
      <c r="N219" s="9"/>
      <c r="O219" s="9"/>
      <c r="P219" s="9"/>
      <c r="Q219" s="9"/>
      <c r="R219" s="9"/>
      <c r="S219" s="9"/>
      <c r="T219" s="9"/>
      <c r="U219" s="9"/>
      <c r="V219" s="9"/>
      <c r="W219" s="9"/>
      <c r="X219" s="9"/>
      <c r="Y219" s="9"/>
      <c r="Z219" s="9"/>
      <c r="AA219" s="9"/>
      <c r="AB219" s="9"/>
      <c r="AC219" s="9"/>
      <c r="AD219" s="9"/>
      <c r="AE219" s="9"/>
      <c r="AF219" s="9"/>
      <c r="AG219" s="9"/>
      <c r="AH219" s="9"/>
      <c r="AI219" s="9"/>
      <c r="AJ219" s="9"/>
    </row>
    <row r="220" spans="1:36">
      <c r="A220" s="9"/>
      <c r="B220" s="9"/>
      <c r="C220" s="9"/>
      <c r="D220" s="9"/>
      <c r="E220" s="9"/>
      <c r="F220" s="9"/>
      <c r="G220" s="9"/>
      <c r="H220" s="9"/>
      <c r="I220" s="9"/>
      <c r="J220" s="9"/>
      <c r="K220" s="9"/>
      <c r="L220" s="9"/>
      <c r="M220" s="9"/>
      <c r="N220" s="9"/>
      <c r="O220" s="9"/>
      <c r="P220" s="9"/>
      <c r="Q220" s="9"/>
      <c r="R220" s="9"/>
      <c r="S220" s="9"/>
      <c r="T220" s="9"/>
      <c r="U220" s="9"/>
      <c r="V220" s="9"/>
      <c r="W220" s="9"/>
      <c r="X220" s="9"/>
      <c r="Y220" s="9"/>
      <c r="Z220" s="9"/>
      <c r="AA220" s="9"/>
      <c r="AB220" s="9"/>
      <c r="AC220" s="9"/>
      <c r="AD220" s="9"/>
      <c r="AE220" s="9"/>
      <c r="AF220" s="9"/>
      <c r="AG220" s="9"/>
      <c r="AH220" s="9"/>
      <c r="AI220" s="9"/>
      <c r="AJ220" s="9"/>
    </row>
    <row r="221" spans="1:36">
      <c r="A221" s="9"/>
      <c r="B221" s="9"/>
      <c r="C221" s="9"/>
      <c r="D221" s="9"/>
      <c r="E221" s="9"/>
      <c r="F221" s="9"/>
      <c r="G221" s="9"/>
      <c r="H221" s="9"/>
      <c r="I221" s="9"/>
      <c r="J221" s="9"/>
      <c r="K221" s="9"/>
      <c r="L221" s="9"/>
      <c r="M221" s="9"/>
      <c r="N221" s="9"/>
      <c r="O221" s="9"/>
      <c r="P221" s="9"/>
      <c r="Q221" s="9"/>
      <c r="R221" s="9"/>
      <c r="S221" s="9"/>
      <c r="T221" s="9"/>
      <c r="U221" s="9"/>
      <c r="V221" s="9"/>
      <c r="W221" s="9"/>
      <c r="X221" s="9"/>
      <c r="Y221" s="9"/>
      <c r="Z221" s="9"/>
      <c r="AA221" s="9"/>
      <c r="AB221" s="9"/>
      <c r="AC221" s="9"/>
      <c r="AD221" s="9"/>
      <c r="AE221" s="9"/>
      <c r="AF221" s="9"/>
      <c r="AG221" s="9"/>
      <c r="AH221" s="9"/>
      <c r="AI221" s="9"/>
      <c r="AJ221" s="9"/>
    </row>
    <row r="222" spans="1:36">
      <c r="A222" s="9"/>
      <c r="B222" s="9"/>
      <c r="C222" s="9"/>
      <c r="D222" s="9"/>
      <c r="E222" s="9"/>
      <c r="F222" s="9"/>
      <c r="G222" s="9"/>
      <c r="H222" s="9"/>
      <c r="I222" s="9"/>
      <c r="J222" s="9"/>
      <c r="K222" s="9"/>
      <c r="L222" s="9"/>
      <c r="M222" s="9"/>
      <c r="N222" s="9"/>
      <c r="O222" s="9"/>
      <c r="P222" s="9"/>
      <c r="Q222" s="9"/>
      <c r="R222" s="9"/>
      <c r="S222" s="9"/>
      <c r="T222" s="9"/>
      <c r="U222" s="9"/>
      <c r="V222" s="9"/>
      <c r="W222" s="9"/>
      <c r="X222" s="9"/>
      <c r="Y222" s="9"/>
      <c r="Z222" s="9"/>
      <c r="AA222" s="9"/>
      <c r="AB222" s="9"/>
      <c r="AC222" s="9"/>
      <c r="AD222" s="9"/>
      <c r="AE222" s="9"/>
      <c r="AF222" s="9"/>
      <c r="AG222" s="9"/>
      <c r="AH222" s="9"/>
      <c r="AI222" s="9"/>
      <c r="AJ222" s="9"/>
    </row>
  </sheetData>
  <sheetProtection algorithmName="SHA-512" hashValue="jMqtHonHB/SOq2SS503E8n49I4f/ygvmvx4IeXoVGDWjZDiRkE/C9K0WQsiDA/OUyqcQk54O+FSBuEA7RmVQQQ==" saltValue="qBWS48Wv+aos9XRsdnL7Mw==" spinCount="100000" sheet="1" objects="1" scenarios="1"/>
  <mergeCells count="2">
    <mergeCell ref="B87:D87"/>
    <mergeCell ref="E87:G87"/>
  </mergeCells>
  <dataValidations xWindow="787" yWindow="260" count="19">
    <dataValidation allowBlank="1" showInputMessage="1" showErrorMessage="1" promptTitle="Profile Parameters" prompt="These tables adjust the assumed production profile parameters for oil and gas.  The parameters should be only be adjusted in a small range as the algorithms used may not converge if large adjustments are used" sqref="A3:I13" xr:uid="{00000000-0002-0000-1100-000000000000}"/>
    <dataValidation allowBlank="1" showInputMessage="1" showErrorMessage="1" promptTitle="BOE Factor" prompt="The factor used to present gas volumes as oil equivalent volumes" sqref="A15:B15" xr:uid="{00000000-0002-0000-1100-000001000000}"/>
    <dataValidation allowBlank="1" showInputMessage="1" showErrorMessage="1" prompt="This table specifies the percentage of the total calculated production wells required at production startup and production plateau" sqref="A21" xr:uid="{00000000-0002-0000-1100-000002000000}"/>
    <dataValidation allowBlank="1" showInputMessage="1" showErrorMessage="1" promptTitle="Well Productivity" prompt="These tables specify the reserves produced per well for different reserves sizes for gas and oil.   The number of wells required is the the reserves divided by the volume per well specified in the table" sqref="A25:G34" xr:uid="{00000000-0002-0000-1100-000003000000}"/>
    <dataValidation allowBlank="1" showInputMessage="1" showErrorMessage="1" promptTitle="Drilling Centres" prompt="This lookup table specifes the number of drilling centres assumed dependent on the total number of wells" sqref="A36:B43" xr:uid="{00000000-0002-0000-1100-000004000000}"/>
    <dataValidation allowBlank="1" showInputMessage="1" showErrorMessage="1" promptTitle="Areal Extent Multiplier" prompt="The areal extent multiplier is a multiplier on the assumed length of each well dependent on the specification of the areal extent of the reservoir" sqref="A45:B50" xr:uid="{00000000-0002-0000-1100-000005000000}"/>
    <dataValidation allowBlank="1" showInputMessage="1" showErrorMessage="1" promptTitle="Reservoir Complexity Multiplier" prompt="This reservoir complexity multiplier is a multiplier on the number of wells dependent on the reservoir complexity,this is a subjective measure of faulting and other factors that require additional wells to be drilled" sqref="A52:B57" xr:uid="{00000000-0002-0000-1100-000006000000}"/>
    <dataValidation allowBlank="1" showInputMessage="1" showErrorMessage="1" promptTitle="Well Time Multiplier" prompt="This table specifies a multiplier on the time taken to drill a well dependent on whether the reservoir is normally pressured or High Pressure High Temperature (HPHT)" sqref="A59:C62" xr:uid="{00000000-0002-0000-1100-000007000000}"/>
    <dataValidation allowBlank="1" showInputMessage="1" showErrorMessage="1" promptTitle="Subsea Bundle Length" prompt="This table specifies the subsea bundle length for flowlines for satellite wells dependent on reservoir areal extent.  The program selects between satellite and deviated wells dependent on the total cost of the two alternatives" sqref="A67:B72 B66" xr:uid="{00000000-0002-0000-1100-000009000000}"/>
    <dataValidation allowBlank="1" showInputMessage="1" showErrorMessage="1" promptTitle="Number of Appraisal Wells" prompt="These tables specify the average number of required appraisal wells dependent on discovered reserves size" sqref="A74:G81" xr:uid="{00000000-0002-0000-1100-00000A000000}"/>
    <dataValidation allowBlank="1" showInputMessage="1" showErrorMessage="1" promptTitle="Construct and Installation Times" prompt="The assumed fixed and variable times required to construct and install the field facilities " sqref="A85:G98" xr:uid="{00000000-0002-0000-1100-00000B000000}"/>
    <dataValidation allowBlank="1" showInputMessage="1" showErrorMessage="1" prompt="Enter average gas shrinkage (from Production to Sales) for a a gas field - includes fuel requirements" sqref="A18:C18" xr:uid="{00000000-0002-0000-1100-00000C000000}"/>
    <dataValidation allowBlank="1" showInputMessage="1" showErrorMessage="1" prompt="Enter oilfield fuel requirement as a percentage of liquid production.  Program will use associated gas at an energy equivalent level where sufficient gas" sqref="A19:C19" xr:uid="{00000000-0002-0000-1100-00000D000000}"/>
    <dataValidation allowBlank="1" showInputMessage="1" showErrorMessage="1" prompt="Enter the equivalent energy ratio of oil to gas for the purpose of calculating fuel requirements of the two products" sqref="A17:C17" xr:uid="{00000000-0002-0000-1100-00000E000000}"/>
    <dataValidation allowBlank="1" showInputMessage="1" showErrorMessage="1" prompt="Enter the percentage of wells availabel at production start-up and at start of plateau production" sqref="A22:C23" xr:uid="{00000000-0002-0000-1100-00000F000000}"/>
    <dataValidation allowBlank="1" showInputMessage="1" showErrorMessage="1" prompt="Enter the assumed gas reserver per required gas reinjection well" sqref="A83:C83" xr:uid="{00000000-0002-0000-1100-000010000000}"/>
    <dataValidation allowBlank="1" showInputMessage="1" showErrorMessage="1" promptTitle="Pressure Well Time Multiplier" prompt="This table specifies a multiplier on the time taken to drill a well dependent on whether the reservoir is normally pressured (0.4-0.5 psi / ft, Overpressured (0.5-0.7 psi / ft) or Severely Overpressured (&gt;0.7 psi / ft)" sqref="A66" xr:uid="{42F71782-5EEC-4C59-872C-031F61CC9D0D}"/>
    <dataValidation type="decimal" allowBlank="1" showInputMessage="1" showErrorMessage="1" promptTitle="Well Time Multiplier" prompt="This table specifies a multiplier on the time taken to drill a well dependent on whether the reservoir is normally pressured (0.4-0.5 psi / ft), Overpressured (0.5-0.7 psi / ft) or Severely Overpressured (&gt;0.7 psi / ft)" sqref="B63:C65" xr:uid="{4EA81745-BADA-4461-8EF2-7FEC98186AFE}">
      <formula1>1</formula1>
      <formula2>2</formula2>
    </dataValidation>
    <dataValidation allowBlank="1" showInputMessage="1" showErrorMessage="1" promptTitle="Pressure Well Time Multiplier" prompt="This table specifies a multiplier on the time taken to drill a well dependent on whether the reservoir is normally pressured (0.4-0.5 psi / ft), Overpressured (0.5-0.7 psi / ft) or Severely Overpressured (&gt;0.7 psi / ft)" sqref="A63:A65" xr:uid="{522AC107-CC0F-4E46-B3F7-98C57BEBC895}"/>
  </dataValidations>
  <hyperlinks>
    <hyperlink ref="E1" location="Guide" display="Guide" xr:uid="{00000000-0004-0000-1100-000000000000}"/>
    <hyperlink ref="E2" location="Input" display="Input" xr:uid="{00000000-0004-0000-1100-000001000000}"/>
  </hyperlinks>
  <pageMargins left="0.7" right="0.7" top="0.75" bottom="0.75" header="0.3" footer="0.3"/>
  <pageSetup paperSize="9" scale="47" orientation="portrait" r:id="rId1"/>
  <headerFooter>
    <oddFooter>&amp;LNova Scotia Exploration Economics Model&amp;Rwww.indeva.com</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theme="3" tint="0.79998168889431442"/>
    <pageSetUpPr fitToPage="1"/>
  </sheetPr>
  <dimension ref="A1:AB76"/>
  <sheetViews>
    <sheetView showGridLines="0" showRowColHeaders="0" showZeros="0" zoomScale="70" zoomScaleNormal="70" workbookViewId="0">
      <pane xSplit="2" ySplit="2" topLeftCell="C3" activePane="bottomRight" state="frozen"/>
      <selection activeCell="D42" sqref="D42"/>
      <selection pane="topRight" activeCell="D42" sqref="D42"/>
      <selection pane="bottomLeft" activeCell="D42" sqref="D42"/>
      <selection pane="bottomRight" activeCell="F26" sqref="F26"/>
    </sheetView>
  </sheetViews>
  <sheetFormatPr defaultRowHeight="15"/>
  <cols>
    <col min="1" max="1" width="6.140625" customWidth="1"/>
    <col min="2" max="2" width="25.85546875" customWidth="1"/>
    <col min="3" max="3" width="10" customWidth="1"/>
    <col min="4" max="4" width="10.85546875" customWidth="1"/>
    <col min="5" max="5" width="10.140625" customWidth="1"/>
    <col min="6" max="6" width="11.5703125" bestFit="1" customWidth="1"/>
    <col min="7" max="7" width="12" customWidth="1"/>
    <col min="8" max="8" width="10.85546875" bestFit="1" customWidth="1"/>
    <col min="9" max="9" width="11.140625" customWidth="1"/>
    <col min="10" max="10" width="11.7109375" customWidth="1"/>
    <col min="11" max="12" width="9.28515625" bestFit="1" customWidth="1"/>
    <col min="13" max="13" width="9.85546875" bestFit="1" customWidth="1"/>
    <col min="14" max="14" width="9.28515625" bestFit="1" customWidth="1"/>
    <col min="15" max="15" width="10" bestFit="1" customWidth="1"/>
    <col min="16" max="18" width="9.28515625" bestFit="1" customWidth="1"/>
    <col min="19" max="19" width="11.5703125" customWidth="1"/>
    <col min="22" max="22" width="10.7109375" customWidth="1"/>
    <col min="23" max="23" width="12.28515625" customWidth="1"/>
    <col min="24" max="24" width="10.85546875" customWidth="1"/>
    <col min="28" max="28" width="11.5703125" customWidth="1"/>
  </cols>
  <sheetData>
    <row r="1" spans="1:28" ht="18.75">
      <c r="A1" s="64"/>
      <c r="B1" s="92" t="str">
        <f>Input!B10</f>
        <v>Prospect X</v>
      </c>
      <c r="C1" s="92" t="s">
        <v>173</v>
      </c>
      <c r="D1" s="92"/>
      <c r="E1" s="92"/>
      <c r="F1" s="64"/>
      <c r="G1" s="64"/>
      <c r="H1" s="93" t="s">
        <v>756</v>
      </c>
      <c r="I1" s="64"/>
      <c r="J1" s="64"/>
      <c r="K1" s="64"/>
      <c r="L1" s="64"/>
      <c r="M1" s="64"/>
      <c r="N1" s="64"/>
      <c r="O1" s="64"/>
      <c r="P1" s="64"/>
      <c r="Q1" s="64"/>
      <c r="R1" s="64"/>
      <c r="S1" s="64"/>
      <c r="T1" s="64"/>
      <c r="U1" s="64"/>
      <c r="V1" s="64"/>
      <c r="W1" s="64"/>
      <c r="X1" s="64"/>
      <c r="Y1" s="64"/>
      <c r="Z1" s="64"/>
      <c r="AA1" s="64"/>
      <c r="AB1" s="64"/>
    </row>
    <row r="2" spans="1:28" ht="18.75">
      <c r="A2" s="64"/>
      <c r="B2" s="64"/>
      <c r="C2" s="64"/>
      <c r="D2" s="64"/>
      <c r="E2" s="64"/>
      <c r="F2" s="64"/>
      <c r="G2" s="64"/>
      <c r="H2" s="93" t="s">
        <v>139</v>
      </c>
      <c r="I2" s="64"/>
      <c r="J2" s="64"/>
      <c r="K2" s="64"/>
      <c r="L2" s="64"/>
      <c r="M2" s="64"/>
      <c r="N2" s="64"/>
      <c r="O2" s="64"/>
      <c r="P2" s="64"/>
      <c r="Q2" s="64"/>
      <c r="R2" s="64"/>
      <c r="S2" s="64"/>
      <c r="T2" s="64"/>
      <c r="U2" s="64"/>
      <c r="V2" s="64"/>
      <c r="W2" s="64"/>
      <c r="X2" s="64"/>
      <c r="Y2" s="64"/>
      <c r="Z2" s="64"/>
      <c r="AA2" s="64"/>
      <c r="AB2" s="64"/>
    </row>
    <row r="3" spans="1:28">
      <c r="A3" s="64"/>
      <c r="B3" s="84" t="s">
        <v>174</v>
      </c>
      <c r="C3" s="64"/>
      <c r="D3" s="64"/>
      <c r="E3" s="64"/>
      <c r="F3" s="64"/>
      <c r="G3" s="64"/>
      <c r="H3" s="64"/>
      <c r="I3" s="64"/>
      <c r="J3" s="64"/>
      <c r="K3" s="64"/>
      <c r="L3" s="64"/>
      <c r="M3" s="64"/>
      <c r="N3" s="64"/>
      <c r="O3" s="64"/>
      <c r="P3" s="64"/>
      <c r="Q3" s="64"/>
      <c r="R3" s="64"/>
      <c r="S3" s="64"/>
      <c r="T3" s="64"/>
      <c r="U3" s="64"/>
      <c r="V3" s="64"/>
      <c r="W3" s="64"/>
      <c r="X3" s="64"/>
      <c r="Y3" s="64"/>
      <c r="Z3" s="64"/>
      <c r="AA3" s="64"/>
      <c r="AB3" s="64"/>
    </row>
    <row r="4" spans="1:28">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row>
    <row r="5" spans="1:28">
      <c r="A5" s="64"/>
      <c r="B5" s="85" t="s">
        <v>78</v>
      </c>
      <c r="C5" s="86">
        <f>IF(Thresholds!E1="Seismic",1,0)</f>
        <v>1</v>
      </c>
      <c r="D5" s="64"/>
      <c r="E5" s="64"/>
      <c r="F5" s="64"/>
      <c r="G5" s="64"/>
      <c r="H5" s="64"/>
      <c r="I5" s="64"/>
      <c r="J5" s="64"/>
      <c r="K5" s="64"/>
      <c r="L5" s="64"/>
      <c r="M5" s="64"/>
      <c r="N5" s="64"/>
      <c r="O5" s="64"/>
      <c r="P5" s="64"/>
      <c r="Q5" s="64"/>
      <c r="R5" s="64"/>
      <c r="S5" s="64"/>
      <c r="T5" s="64"/>
      <c r="U5" s="64"/>
      <c r="V5" s="64"/>
      <c r="W5" s="64"/>
      <c r="X5" s="64"/>
      <c r="Y5" s="64"/>
      <c r="Z5" s="64"/>
      <c r="AA5" s="64"/>
      <c r="AB5" s="64"/>
    </row>
    <row r="6" spans="1:28">
      <c r="A6" s="64"/>
      <c r="B6" s="85" t="s">
        <v>86</v>
      </c>
      <c r="C6" s="86">
        <f ca="1">IF(Input!C38=TRUE,MAX(0,MIN(1,IF(Thresholds!E1="Seismic",Input!B22*'Sensitivity Ranges'!$F$45,IF(Thresholds!E1="Wildcat",1,0)))),0)</f>
        <v>1</v>
      </c>
      <c r="D6" s="64"/>
      <c r="E6" s="64"/>
      <c r="F6" s="64"/>
      <c r="G6" s="64"/>
      <c r="H6" s="64"/>
      <c r="I6" s="64"/>
      <c r="J6" s="64"/>
      <c r="K6" s="64"/>
      <c r="L6" s="64"/>
      <c r="M6" s="64"/>
      <c r="N6" s="64"/>
      <c r="O6" s="64"/>
      <c r="P6" s="64"/>
      <c r="Q6" s="64"/>
      <c r="R6" s="64"/>
      <c r="S6" s="64"/>
      <c r="T6" s="64"/>
      <c r="U6" s="64"/>
      <c r="V6" s="64"/>
      <c r="W6" s="64"/>
      <c r="X6" s="64"/>
      <c r="Y6" s="64"/>
      <c r="Z6" s="64"/>
      <c r="AA6" s="64"/>
      <c r="AB6" s="64"/>
    </row>
    <row r="7" spans="1:28">
      <c r="A7" s="64"/>
      <c r="B7" s="85" t="s">
        <v>87</v>
      </c>
      <c r="C7" s="86">
        <f ca="1">MAX(0,MIN(1,IF(Thresholds!E1="Seismic",C6*Input!B23,IF(Thresholds!E1="Wildcat",C6*Input!B23*'Sensitivity Ranges'!$F$45,IF(Thresholds!E1="Appraisal",1,0)))))</f>
        <v>1</v>
      </c>
      <c r="D7" s="64"/>
      <c r="E7" s="64"/>
      <c r="F7" s="64"/>
      <c r="G7" s="64"/>
      <c r="H7" s="64"/>
      <c r="I7" s="64"/>
      <c r="J7" s="64"/>
      <c r="K7" s="64"/>
      <c r="L7" s="64"/>
      <c r="M7" s="64"/>
      <c r="N7" s="64"/>
      <c r="O7" s="64"/>
      <c r="P7" s="64"/>
      <c r="Q7" s="64"/>
      <c r="R7" s="64"/>
      <c r="S7" s="64"/>
      <c r="T7" s="64"/>
      <c r="U7" s="64"/>
      <c r="V7" s="64"/>
      <c r="W7" s="64"/>
      <c r="X7" s="64"/>
      <c r="Y7" s="64"/>
      <c r="Z7" s="64"/>
      <c r="AA7" s="64"/>
      <c r="AB7" s="64"/>
    </row>
    <row r="8" spans="1:28">
      <c r="A8" s="64"/>
      <c r="B8" s="85" t="s">
        <v>88</v>
      </c>
      <c r="C8" s="86">
        <f ca="1">MAX(0,MIN(1,IF(OR(Thresholds!E1="seismic",Thresholds!E1="wildcat"),C7*Input!B24,IF(Thresholds!E1="appraisal",C7*Input!B24*'Sensitivity Ranges'!F45,IF(Thresholds!E1="Development Planning",1,0)))))</f>
        <v>1</v>
      </c>
      <c r="D8" s="64"/>
      <c r="E8" s="64"/>
      <c r="F8" s="64"/>
      <c r="G8" s="64"/>
      <c r="H8" s="64"/>
      <c r="I8" s="64"/>
      <c r="J8" s="64"/>
      <c r="K8" s="64"/>
      <c r="L8" s="64"/>
      <c r="M8" s="64"/>
      <c r="N8" s="64"/>
      <c r="O8" s="64"/>
      <c r="P8" s="64"/>
      <c r="Q8" s="64"/>
      <c r="R8" s="64"/>
      <c r="S8" s="64"/>
      <c r="T8" s="64"/>
      <c r="U8" s="64"/>
      <c r="V8" s="64"/>
      <c r="W8" s="64"/>
      <c r="X8" s="64"/>
      <c r="Y8" s="64"/>
      <c r="Z8" s="64"/>
      <c r="AA8" s="64"/>
      <c r="AB8" s="64"/>
    </row>
    <row r="9" spans="1:28">
      <c r="A9" s="64"/>
      <c r="B9" s="87" t="s">
        <v>175</v>
      </c>
      <c r="C9" s="88">
        <f ca="1">MAX(0,MIN(1,IF(Thresholds!E1="Development Start",1,IF(Thresholds!E1="Development Planning",C8*Input!B25*'Sensitivity Ranges'!F45,C8*Input!B25))))</f>
        <v>1</v>
      </c>
      <c r="D9" s="64"/>
      <c r="E9" s="64"/>
      <c r="F9" s="64"/>
      <c r="G9" s="64"/>
      <c r="H9" s="64"/>
      <c r="I9" s="64"/>
      <c r="J9" s="64"/>
      <c r="K9" s="64"/>
      <c r="L9" s="64"/>
      <c r="M9" s="64"/>
      <c r="N9" s="64"/>
      <c r="O9" s="64"/>
      <c r="P9" s="64"/>
      <c r="Q9" s="64"/>
      <c r="R9" s="64"/>
      <c r="S9" s="64"/>
      <c r="T9" s="64"/>
      <c r="U9" s="64"/>
      <c r="V9" s="64"/>
      <c r="W9" s="64"/>
      <c r="X9" s="64"/>
      <c r="Y9" s="64"/>
      <c r="Z9" s="64"/>
      <c r="AA9" s="64"/>
      <c r="AB9" s="64"/>
    </row>
    <row r="10" spans="1:28">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c r="AA10" s="64"/>
      <c r="AB10" s="64"/>
    </row>
    <row r="11" spans="1:28">
      <c r="A11" s="64"/>
      <c r="B11" s="85" t="s">
        <v>176</v>
      </c>
      <c r="C11" s="85">
        <f>IF(C14=1,SUM(M25:M29),VLOOKUP(Thresholds!E2,IF(Input!B13="gas",'Sched &amp; Prod Assumptions'!A77:B81,'Sched &amp; Prod Assumptions'!F77:G81),2))</f>
        <v>3</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row>
    <row r="12" spans="1:28">
      <c r="A12" s="64"/>
      <c r="B12" s="85" t="s">
        <v>177</v>
      </c>
      <c r="C12" s="85">
        <f>IF(AND('Expl Overrides'!C5="Manual Override",stageno=1),1,0)</f>
        <v>0</v>
      </c>
      <c r="D12" s="64"/>
      <c r="E12" s="64"/>
      <c r="F12" s="64"/>
      <c r="G12" s="64"/>
      <c r="H12" s="64"/>
      <c r="I12" s="64"/>
      <c r="J12" s="64"/>
      <c r="K12" s="64"/>
      <c r="L12" s="64"/>
      <c r="M12" s="64"/>
      <c r="N12" s="64"/>
      <c r="O12" s="64"/>
      <c r="P12" s="64"/>
      <c r="Q12" s="64"/>
      <c r="R12" s="64"/>
      <c r="S12" s="64"/>
      <c r="T12" s="64"/>
      <c r="U12" s="64"/>
      <c r="V12" s="64"/>
      <c r="W12" s="64"/>
      <c r="X12" s="64"/>
      <c r="Y12" s="64"/>
      <c r="Z12" s="64"/>
      <c r="AA12" s="64"/>
      <c r="AB12" s="64"/>
    </row>
    <row r="13" spans="1:28">
      <c r="A13" s="64"/>
      <c r="B13" s="85" t="s">
        <v>178</v>
      </c>
      <c r="C13" s="85">
        <f>IF(AND('Expl Overrides'!C15="Manual Override",stageno&lt;3),1,0)</f>
        <v>0</v>
      </c>
      <c r="D13" s="64"/>
      <c r="E13" s="64"/>
      <c r="F13" s="64"/>
      <c r="G13" s="64"/>
      <c r="H13" s="64"/>
      <c r="I13" s="64"/>
      <c r="J13" s="64"/>
      <c r="K13" s="64"/>
      <c r="L13" s="64"/>
      <c r="M13" s="64"/>
      <c r="N13" s="64"/>
      <c r="O13" s="64"/>
      <c r="P13" s="64"/>
      <c r="Q13" s="64"/>
      <c r="R13" s="64"/>
      <c r="S13" s="64"/>
      <c r="T13" s="64"/>
      <c r="U13" s="64"/>
      <c r="V13" s="64"/>
      <c r="W13" s="64"/>
      <c r="X13" s="64"/>
      <c r="Y13" s="64"/>
      <c r="Z13" s="64"/>
      <c r="AA13" s="64"/>
      <c r="AB13" s="64"/>
    </row>
    <row r="14" spans="1:28">
      <c r="A14" s="64"/>
      <c r="B14" s="85" t="s">
        <v>179</v>
      </c>
      <c r="C14" s="85">
        <f>IF(AND('Expl Overrides'!C25="Manual Override",stageno&lt;4),1,0)</f>
        <v>0</v>
      </c>
      <c r="D14" s="64"/>
      <c r="E14" s="64"/>
      <c r="F14" s="64"/>
      <c r="G14" s="64"/>
      <c r="H14" s="64"/>
      <c r="I14" s="64"/>
      <c r="J14" s="64"/>
      <c r="K14" s="64"/>
      <c r="L14" s="64"/>
      <c r="M14" s="64"/>
      <c r="N14" s="64"/>
      <c r="O14" s="64"/>
      <c r="P14" s="64"/>
      <c r="Q14" s="64"/>
      <c r="R14" s="64"/>
      <c r="S14" s="64"/>
      <c r="T14" s="64"/>
      <c r="U14" s="64"/>
      <c r="V14" s="64"/>
      <c r="W14" s="64"/>
      <c r="X14" s="64"/>
      <c r="Y14" s="64"/>
      <c r="Z14" s="64"/>
      <c r="AA14" s="64"/>
      <c r="AB14" s="64"/>
    </row>
    <row r="15" spans="1:28">
      <c r="A15" s="64"/>
      <c r="B15" s="85" t="s">
        <v>180</v>
      </c>
      <c r="C15" s="85">
        <f>IF('Cost Assumptions'!O6="Deepwater",IF(Input!B30=Lists!A88,'Sched &amp; Prod Assumptions'!C63,IF(Input!B30=Lists!A89,'Sched &amp; Prod Assumptions'!C64,'Sched &amp; Prod Assumptions'!C65)),IF(Input!B30=Lists!A88,'Sched &amp; Prod Assumptions'!B63,IF(Input!B30=Lists!A89,'Sched &amp; Prod Assumptions'!B64,'Sched &amp; Prod Assumptions'!B65)))</f>
        <v>1</v>
      </c>
      <c r="D15" s="64"/>
      <c r="E15" s="64"/>
      <c r="F15" s="84"/>
      <c r="G15" s="64"/>
      <c r="H15" s="64"/>
      <c r="I15" s="64"/>
      <c r="J15" s="64"/>
      <c r="K15" s="64"/>
      <c r="L15" s="64"/>
      <c r="M15" s="64"/>
      <c r="N15" s="64"/>
      <c r="O15" s="64"/>
      <c r="P15" s="64"/>
      <c r="Q15" s="64"/>
      <c r="R15" s="64"/>
      <c r="S15" s="64"/>
      <c r="T15" s="64"/>
      <c r="U15" s="64"/>
      <c r="V15" s="64"/>
      <c r="W15" s="64"/>
      <c r="X15" s="64"/>
      <c r="Y15" s="64"/>
      <c r="Z15" s="64"/>
      <c r="AA15" s="64"/>
      <c r="AB15" s="64"/>
    </row>
    <row r="16" spans="1:28">
      <c r="A16" s="64"/>
      <c r="B16" s="64"/>
      <c r="C16" s="64"/>
      <c r="D16" s="64"/>
      <c r="E16" s="64"/>
      <c r="F16" s="64"/>
      <c r="G16" s="64"/>
      <c r="H16" s="64"/>
      <c r="I16" s="64"/>
      <c r="J16" s="64"/>
      <c r="K16" s="64"/>
      <c r="L16" s="64"/>
      <c r="M16" s="64"/>
      <c r="N16" s="64"/>
      <c r="O16" s="64"/>
      <c r="P16" s="64"/>
      <c r="Q16" s="64"/>
      <c r="R16" s="64"/>
      <c r="S16" s="64"/>
      <c r="T16" s="64"/>
      <c r="U16" s="64"/>
      <c r="V16" s="64"/>
      <c r="W16" s="64"/>
      <c r="X16" s="64"/>
      <c r="Y16" s="64"/>
      <c r="Z16" s="64"/>
      <c r="AA16" s="64"/>
      <c r="AB16" s="64"/>
    </row>
    <row r="17" spans="1:28">
      <c r="A17" s="64"/>
      <c r="B17" s="64"/>
      <c r="C17" s="84" t="s">
        <v>976</v>
      </c>
      <c r="D17" s="64"/>
      <c r="E17" s="64"/>
      <c r="F17" s="64"/>
      <c r="G17" s="64"/>
      <c r="H17" s="84" t="s">
        <v>977</v>
      </c>
      <c r="I17" s="64"/>
      <c r="J17" s="64"/>
      <c r="K17" s="64"/>
      <c r="L17" s="64"/>
      <c r="M17" s="64"/>
      <c r="N17" s="64"/>
      <c r="O17" s="84" t="s">
        <v>978</v>
      </c>
      <c r="P17" s="64"/>
      <c r="Q17" s="64"/>
      <c r="R17" s="64"/>
      <c r="S17" s="64"/>
      <c r="T17" s="64"/>
      <c r="U17" s="84" t="s">
        <v>979</v>
      </c>
      <c r="V17" s="64"/>
      <c r="W17" s="64"/>
      <c r="X17" s="64"/>
      <c r="Y17" s="64"/>
      <c r="Z17" s="64"/>
      <c r="AA17" s="64"/>
      <c r="AB17" s="64"/>
    </row>
    <row r="18" spans="1:28">
      <c r="A18" s="64"/>
      <c r="B18" s="64"/>
      <c r="C18" s="64"/>
      <c r="D18" s="64"/>
      <c r="E18" s="64"/>
      <c r="F18" s="64"/>
      <c r="G18" s="64"/>
      <c r="H18" s="64"/>
      <c r="I18" s="64"/>
      <c r="J18" s="64"/>
      <c r="K18" s="64"/>
      <c r="L18" s="64"/>
      <c r="M18" s="64"/>
      <c r="N18" s="64"/>
      <c r="O18" s="64"/>
      <c r="P18" s="64"/>
      <c r="Q18" s="64"/>
      <c r="R18" s="64"/>
      <c r="S18" s="64"/>
      <c r="T18" s="64"/>
      <c r="U18" s="64"/>
      <c r="V18" s="64"/>
      <c r="W18" s="64"/>
      <c r="X18" s="64"/>
      <c r="Y18" s="64"/>
      <c r="Z18" s="64"/>
      <c r="AA18" s="64"/>
      <c r="AB18" s="64"/>
    </row>
    <row r="19" spans="1:28">
      <c r="A19" s="64"/>
      <c r="B19" s="64"/>
      <c r="C19" s="89"/>
      <c r="D19" s="89" t="s">
        <v>181</v>
      </c>
      <c r="E19" s="89" t="s">
        <v>181</v>
      </c>
      <c r="F19" s="89" t="s">
        <v>181</v>
      </c>
      <c r="G19" s="64"/>
      <c r="H19" s="89" t="s">
        <v>182</v>
      </c>
      <c r="I19" s="89" t="s">
        <v>182</v>
      </c>
      <c r="J19" s="89" t="s">
        <v>182</v>
      </c>
      <c r="K19" s="89" t="s">
        <v>182</v>
      </c>
      <c r="L19" s="89" t="s">
        <v>182</v>
      </c>
      <c r="M19" s="89" t="s">
        <v>183</v>
      </c>
      <c r="N19" s="64"/>
      <c r="O19" s="89" t="s">
        <v>184</v>
      </c>
      <c r="P19" s="89" t="s">
        <v>185</v>
      </c>
      <c r="Q19" s="89" t="s">
        <v>186</v>
      </c>
      <c r="R19" s="89" t="s">
        <v>186</v>
      </c>
      <c r="S19" s="89" t="s">
        <v>187</v>
      </c>
      <c r="T19" s="64"/>
      <c r="U19" s="64"/>
      <c r="V19" s="89" t="s">
        <v>63</v>
      </c>
      <c r="W19" s="64"/>
      <c r="X19" s="87" t="s">
        <v>188</v>
      </c>
      <c r="Y19" s="94"/>
      <c r="Z19" s="94"/>
      <c r="AA19" s="95"/>
      <c r="AB19" s="96">
        <f>IF(C11=0,0,(Input!B24+(1-Input!B24)*(Exploration!C11+1)/2/Exploration!C11))</f>
        <v>1</v>
      </c>
    </row>
    <row r="20" spans="1:28">
      <c r="A20" s="64"/>
      <c r="B20" s="64"/>
      <c r="C20" s="90" t="s">
        <v>189</v>
      </c>
      <c r="D20" s="90" t="s">
        <v>141</v>
      </c>
      <c r="E20" s="90" t="s">
        <v>190</v>
      </c>
      <c r="F20" s="90" t="s">
        <v>191</v>
      </c>
      <c r="G20" s="64"/>
      <c r="H20" s="97" t="s">
        <v>79</v>
      </c>
      <c r="I20" s="97" t="s">
        <v>141</v>
      </c>
      <c r="J20" s="97" t="s">
        <v>192</v>
      </c>
      <c r="K20" s="97" t="s">
        <v>190</v>
      </c>
      <c r="L20" s="97" t="s">
        <v>193</v>
      </c>
      <c r="M20" s="97"/>
      <c r="N20" s="64"/>
      <c r="O20" s="97" t="s">
        <v>14</v>
      </c>
      <c r="P20" s="97" t="s">
        <v>14</v>
      </c>
      <c r="Q20" s="97" t="s">
        <v>194</v>
      </c>
      <c r="R20" s="97" t="s">
        <v>42</v>
      </c>
      <c r="S20" s="97" t="s">
        <v>42</v>
      </c>
      <c r="T20" s="64"/>
      <c r="U20" s="64"/>
      <c r="V20" s="90" t="s">
        <v>195</v>
      </c>
      <c r="W20" s="64"/>
      <c r="X20" s="64"/>
      <c r="Y20" s="64"/>
      <c r="Z20" s="64"/>
      <c r="AA20" s="64"/>
      <c r="AB20" s="64"/>
    </row>
    <row r="21" spans="1:28" ht="15" customHeight="1">
      <c r="A21" s="64"/>
      <c r="B21" s="85" t="s">
        <v>78</v>
      </c>
      <c r="C21" s="91"/>
      <c r="D21" s="91">
        <f>'Cost Assumptions'!O10</f>
        <v>95.4</v>
      </c>
      <c r="E21" s="91">
        <v>0</v>
      </c>
      <c r="F21" s="91">
        <f>'Cost Assumptions'!O11</f>
        <v>10093.32</v>
      </c>
      <c r="G21" s="64"/>
      <c r="H21" s="98">
        <f>IF(Thresholds!E1="Seismic",Input!B12,0)</f>
        <v>45200</v>
      </c>
      <c r="I21" s="91">
        <f>IF($C$12=1,'Expl Overrides'!E12,Exploration!D21)</f>
        <v>95.4</v>
      </c>
      <c r="J21" s="98">
        <f>IF(Thresholds!E1="Seismic",H21+I21,0)</f>
        <v>45295.4</v>
      </c>
      <c r="K21" s="91">
        <f>IF($C$12=1,'Expl Overrides'!F12,Exploration!E21)</f>
        <v>0</v>
      </c>
      <c r="L21" s="100">
        <f>IF(Exploration!$C$12=1,'Expl Overrides'!H12,Exploration!F21)/1000</f>
        <v>10.09332</v>
      </c>
      <c r="M21" s="85"/>
      <c r="N21" s="64"/>
      <c r="O21" s="99">
        <f>YEAR(H21)</f>
        <v>2023</v>
      </c>
      <c r="P21" s="85">
        <f t="shared" ref="P21:P29" si="0">YEAR(J21)</f>
        <v>2024</v>
      </c>
      <c r="Q21" s="96">
        <f t="shared" ref="Q21:Q29" si="1">IF(I21=0,0,(MIN(J21,DATE(O21,12,31))-H21)/I21)</f>
        <v>0.95387840670859536</v>
      </c>
      <c r="R21" s="100">
        <f t="shared" ref="R21:R29" si="2">Q21*L21</f>
        <v>9.6278000000000006</v>
      </c>
      <c r="S21" s="100">
        <f t="shared" ref="S21:S29" si="3">L21-R21</f>
        <v>0.46551999999999971</v>
      </c>
      <c r="T21" s="64"/>
      <c r="U21" s="85" t="s">
        <v>196</v>
      </c>
      <c r="V21" s="101">
        <f>IF(J21&lt;Input!$B$12,SUM(Exploration!L21:L22),0)</f>
        <v>0</v>
      </c>
      <c r="W21" s="64"/>
      <c r="X21" s="655" t="s">
        <v>197</v>
      </c>
      <c r="Y21" s="655"/>
      <c r="Z21" s="655"/>
      <c r="AA21" s="655"/>
      <c r="AB21" s="655"/>
    </row>
    <row r="22" spans="1:28">
      <c r="A22" s="64"/>
      <c r="B22" s="85" t="s">
        <v>143</v>
      </c>
      <c r="C22" s="91"/>
      <c r="D22" s="91">
        <f>'Cost Assumptions'!O12</f>
        <v>190.8</v>
      </c>
      <c r="E22" s="91">
        <f>'Cost Assumptions'!O14</f>
        <v>127.2</v>
      </c>
      <c r="F22" s="91">
        <f>'Cost Assumptions'!O13</f>
        <v>4710.2159999999994</v>
      </c>
      <c r="G22" s="64"/>
      <c r="H22" s="98">
        <f>J21+K21</f>
        <v>45295.4</v>
      </c>
      <c r="I22" s="91">
        <f>IF($C$12=1,'Expl Overrides'!E13,Exploration!D22)</f>
        <v>190.8</v>
      </c>
      <c r="J22" s="98">
        <f>IF(Thresholds!E1="Seismic",H22+I22,0)</f>
        <v>45486.200000000004</v>
      </c>
      <c r="K22" s="91">
        <f>IF($C$12=1,'Expl Overrides'!F13,Exploration!E22)</f>
        <v>127.2</v>
      </c>
      <c r="L22" s="100">
        <f>IF(Exploration!$C$12=1,'Expl Overrides'!H13,Exploration!F22)/1000</f>
        <v>4.7102159999999991</v>
      </c>
      <c r="M22" s="85"/>
      <c r="N22" s="64"/>
      <c r="O22" s="85">
        <f t="shared" ref="O22:O29" si="4">YEAR(H22)</f>
        <v>2024</v>
      </c>
      <c r="P22" s="85">
        <f t="shared" si="0"/>
        <v>2024</v>
      </c>
      <c r="Q22" s="96">
        <f t="shared" si="1"/>
        <v>1.0000000000000151</v>
      </c>
      <c r="R22" s="100">
        <f t="shared" si="2"/>
        <v>4.7102160000000701</v>
      </c>
      <c r="S22" s="100">
        <f t="shared" si="3"/>
        <v>-7.1054273576010019E-14</v>
      </c>
      <c r="T22" s="64"/>
      <c r="U22" s="85" t="s">
        <v>198</v>
      </c>
      <c r="V22" s="101">
        <f>IF(J24&lt;Input!$B$12,SUM(Exploration!L23:L24),0)</f>
        <v>0</v>
      </c>
      <c r="W22" s="64"/>
      <c r="X22" s="655"/>
      <c r="Y22" s="655"/>
      <c r="Z22" s="655"/>
      <c r="AA22" s="655"/>
      <c r="AB22" s="655"/>
    </row>
    <row r="23" spans="1:28">
      <c r="A23" s="64"/>
      <c r="B23" s="85" t="s">
        <v>86</v>
      </c>
      <c r="C23" s="91">
        <f>Thresholds!E3-Input!B15</f>
        <v>2000</v>
      </c>
      <c r="D23" s="91">
        <f>(C23/'Cost Assumptions'!$O$31)*C15+'Cost Assumptions'!$O$30</f>
        <v>65.44</v>
      </c>
      <c r="E23" s="91">
        <v>0</v>
      </c>
      <c r="F23" s="91">
        <f>(D23*('Cost Assumptions'!$O$29+'Cost Assumptions'!$O$24)+'Cost Assumptions'!$O$28*C23)/1000+'Cost Assumptions'!$O$27</f>
        <v>101307.05596598354</v>
      </c>
      <c r="G23" s="64"/>
      <c r="H23" s="98">
        <f>IF(stageno&gt;2,0,IF(Thresholds!E1="Wildcat",Input!B12,J22+K22))</f>
        <v>45613.4</v>
      </c>
      <c r="I23" s="91">
        <f>IF($C$13=1,'Expl Overrides'!E22,Exploration!D23)</f>
        <v>65.44</v>
      </c>
      <c r="J23" s="98">
        <f>IF(stageno&gt;2,0,H23+I23)</f>
        <v>45678.840000000004</v>
      </c>
      <c r="K23" s="91">
        <f>IF($C$13=1,'Expl Overrides'!F22,Exploration!E23)</f>
        <v>0</v>
      </c>
      <c r="L23" s="100">
        <f>IF(Exploration!$C$13=1,'Expl Overrides'!G22,Exploration!F23)/1000</f>
        <v>101.30705596598354</v>
      </c>
      <c r="M23" s="85"/>
      <c r="N23" s="64"/>
      <c r="O23" s="85">
        <f t="shared" si="4"/>
        <v>2024</v>
      </c>
      <c r="P23" s="85">
        <f t="shared" si="0"/>
        <v>2025</v>
      </c>
      <c r="Q23" s="96">
        <f t="shared" si="1"/>
        <v>0.66625916870413426</v>
      </c>
      <c r="R23" s="100">
        <f t="shared" si="2"/>
        <v>67.496754891759394</v>
      </c>
      <c r="S23" s="100">
        <f t="shared" si="3"/>
        <v>33.810301074224142</v>
      </c>
      <c r="T23" s="64"/>
      <c r="U23" s="85" t="s">
        <v>199</v>
      </c>
      <c r="V23" s="101">
        <f>IF(J29&lt;Input!B12,SUM(Exploration!L25:L29),0)</f>
        <v>0</v>
      </c>
      <c r="W23" s="64"/>
      <c r="X23" s="655"/>
      <c r="Y23" s="655"/>
      <c r="Z23" s="655"/>
      <c r="AA23" s="655"/>
      <c r="AB23" s="655"/>
    </row>
    <row r="24" spans="1:28">
      <c r="A24" s="64"/>
      <c r="B24" s="85" t="s">
        <v>145</v>
      </c>
      <c r="C24" s="91"/>
      <c r="D24" s="91">
        <f>'Cost Assumptions'!O15</f>
        <v>95.4</v>
      </c>
      <c r="E24" s="91">
        <f>'Cost Assumptions'!O17</f>
        <v>127.2</v>
      </c>
      <c r="F24" s="91">
        <f>'Cost Assumptions'!O16</f>
        <v>672.88799999999992</v>
      </c>
      <c r="G24" s="64"/>
      <c r="H24" s="98">
        <f>IF(stageno&gt;2,0,J23+K23)</f>
        <v>45678.840000000004</v>
      </c>
      <c r="I24" s="91">
        <f>IF($C$13=1,'Expl Overrides'!E23,Exploration!D24)</f>
        <v>95.4</v>
      </c>
      <c r="J24" s="98">
        <f>IF(stageno&gt;2,0,H24+I24)</f>
        <v>45774.240000000005</v>
      </c>
      <c r="K24" s="91">
        <f>IF($C$13=1,'Expl Overrides'!F23,Exploration!E24)</f>
        <v>127.2</v>
      </c>
      <c r="L24" s="100">
        <f>IF(Exploration!$C$13=1,'Expl Overrides'!G23,Exploration!F24)/1000</f>
        <v>0.67288799999999993</v>
      </c>
      <c r="M24" s="85"/>
      <c r="N24" s="64"/>
      <c r="O24" s="85">
        <f t="shared" si="4"/>
        <v>2025</v>
      </c>
      <c r="P24" s="85">
        <f t="shared" si="0"/>
        <v>2025</v>
      </c>
      <c r="Q24" s="96">
        <f t="shared" si="1"/>
        <v>1.0000000000000151</v>
      </c>
      <c r="R24" s="100">
        <f t="shared" si="2"/>
        <v>0.67288800000001014</v>
      </c>
      <c r="S24" s="100">
        <f t="shared" si="3"/>
        <v>-1.021405182655144E-14</v>
      </c>
      <c r="T24" s="64"/>
      <c r="U24" s="85" t="s">
        <v>200</v>
      </c>
      <c r="V24" s="101">
        <f>IF(Development!B5&lt;Input!B12,Development!B10/1000,0)</f>
        <v>0</v>
      </c>
      <c r="W24" s="64"/>
      <c r="X24" s="655"/>
      <c r="Y24" s="655"/>
      <c r="Z24" s="655"/>
      <c r="AA24" s="655"/>
      <c r="AB24" s="655"/>
    </row>
    <row r="25" spans="1:28">
      <c r="A25" s="85">
        <v>1</v>
      </c>
      <c r="B25" s="85" t="s">
        <v>147</v>
      </c>
      <c r="C25" s="91">
        <f>IF(A25&gt;$C$11,0,Thresholds!$E$3-Input!$B$15)</f>
        <v>2000</v>
      </c>
      <c r="D25" s="91">
        <f>IF(A25&gt;$C$11,0,(C25/'Cost Assumptions'!$O$31)*C$15+'Cost Assumptions'!$O$30)</f>
        <v>65.44</v>
      </c>
      <c r="E25" s="91">
        <f>IF(A25&gt;=$C$11,0,'Cost Assumptions'!$O$20)</f>
        <v>95.4</v>
      </c>
      <c r="F25" s="91">
        <f>IF(A25&gt;$C$11,0,(D25*('Cost Assumptions'!$O$29+'Cost Assumptions'!$O$24)+'Cost Assumptions'!$O$28*C25)/1000+'Cost Assumptions'!$O$27)</f>
        <v>101307.05596598354</v>
      </c>
      <c r="G25" s="64"/>
      <c r="H25" s="98">
        <f>IF(stageno&gt;3,0,IF(Thresholds!E1="Appraisal",Input!B12,J24+K24))</f>
        <v>45901.440000000002</v>
      </c>
      <c r="I25" s="91">
        <f>IF($C$14=1,'Expl Overrides'!E32,Exploration!D25)</f>
        <v>65.44</v>
      </c>
      <c r="J25" s="98">
        <f>IF(stageno&gt;3,0,H25+I25)</f>
        <v>45966.880000000005</v>
      </c>
      <c r="K25" s="91">
        <f>IF($C$14=1,'Expl Overrides'!F32,Exploration!E25)</f>
        <v>95.4</v>
      </c>
      <c r="L25" s="100">
        <f>IF(Exploration!$C$14=1,'Expl Overrides'!G32,Exploration!F25)/1000</f>
        <v>101.30705596598354</v>
      </c>
      <c r="M25" s="85">
        <f>IF(I25&gt;0,1,0)</f>
        <v>1</v>
      </c>
      <c r="N25" s="64"/>
      <c r="O25" s="85">
        <f t="shared" si="4"/>
        <v>2025</v>
      </c>
      <c r="P25" s="85">
        <f t="shared" si="0"/>
        <v>2025</v>
      </c>
      <c r="Q25" s="96">
        <f t="shared" si="1"/>
        <v>1.0000000000000355</v>
      </c>
      <c r="R25" s="100">
        <f t="shared" si="2"/>
        <v>101.30705596598713</v>
      </c>
      <c r="S25" s="100">
        <f t="shared" si="3"/>
        <v>-3.5953462429461069E-12</v>
      </c>
      <c r="T25" s="64"/>
      <c r="U25" s="85" t="s">
        <v>201</v>
      </c>
      <c r="V25" s="101">
        <f>SUM(V21:V24)</f>
        <v>0</v>
      </c>
      <c r="W25" s="64"/>
      <c r="X25" s="655"/>
      <c r="Y25" s="655"/>
      <c r="Z25" s="655"/>
      <c r="AA25" s="655"/>
      <c r="AB25" s="655"/>
    </row>
    <row r="26" spans="1:28">
      <c r="A26" s="85">
        <f>A25+1</f>
        <v>2</v>
      </c>
      <c r="B26" s="85" t="s">
        <v>148</v>
      </c>
      <c r="C26" s="91">
        <f>IF(A26&gt;$C$11,0,Thresholds!$E$3-Input!$B$15)</f>
        <v>2000</v>
      </c>
      <c r="D26" s="91">
        <f>IF(A26&gt;$C$11,0,(C26/'Cost Assumptions'!$O$31)*C$15+'Cost Assumptions'!$O$30)</f>
        <v>65.44</v>
      </c>
      <c r="E26" s="91">
        <f>IF(A26&gt;=$C$11,0,'Cost Assumptions'!$O$20)</f>
        <v>95.4</v>
      </c>
      <c r="F26" s="91">
        <f>IF(A26&gt;$C$11,0,(D26*('Cost Assumptions'!$O$29+'Cost Assumptions'!$O$24)+'Cost Assumptions'!$O$28*C26)/1000+'Cost Assumptions'!$O$27)</f>
        <v>101307.05596598354</v>
      </c>
      <c r="G26" s="64"/>
      <c r="H26" s="98">
        <f>IF(stageno&gt;3,0,J25+K25)</f>
        <v>46062.280000000006</v>
      </c>
      <c r="I26" s="91">
        <f>IF($C$14=1,'Expl Overrides'!E33,Exploration!D26)</f>
        <v>65.44</v>
      </c>
      <c r="J26" s="98">
        <f>IF(stageno&gt;3,0,H26+I26)</f>
        <v>46127.720000000008</v>
      </c>
      <c r="K26" s="91">
        <f>IF($C$14=1,'Expl Overrides'!F33,Exploration!E26)</f>
        <v>95.4</v>
      </c>
      <c r="L26" s="100">
        <f>IF(Exploration!$C$14=1,'Expl Overrides'!G33,Exploration!F26)/1000</f>
        <v>101.30705596598354</v>
      </c>
      <c r="M26" s="85">
        <f>IF(I26&gt;0,1,0)</f>
        <v>1</v>
      </c>
      <c r="N26" s="64"/>
      <c r="O26" s="85">
        <f t="shared" si="4"/>
        <v>2026</v>
      </c>
      <c r="P26" s="85">
        <f t="shared" si="0"/>
        <v>2026</v>
      </c>
      <c r="Q26" s="96">
        <f t="shared" si="1"/>
        <v>1.0000000000000355</v>
      </c>
      <c r="R26" s="100">
        <f t="shared" si="2"/>
        <v>101.30705596598713</v>
      </c>
      <c r="S26" s="100">
        <f t="shared" si="3"/>
        <v>-3.5953462429461069E-12</v>
      </c>
      <c r="T26" s="64"/>
      <c r="U26" s="85"/>
      <c r="V26" s="85"/>
      <c r="W26" s="64"/>
      <c r="X26" s="655"/>
      <c r="Y26" s="655"/>
      <c r="Z26" s="655"/>
      <c r="AA26" s="655"/>
      <c r="AB26" s="655"/>
    </row>
    <row r="27" spans="1:28">
      <c r="A27" s="85">
        <f>A26+1</f>
        <v>3</v>
      </c>
      <c r="B27" s="85" t="s">
        <v>149</v>
      </c>
      <c r="C27" s="91">
        <f>IF(A27&gt;$C$11,0,Thresholds!$E$3-Input!$B$15)</f>
        <v>2000</v>
      </c>
      <c r="D27" s="91">
        <f>IF(A27&gt;$C$11,0,(C27/'Cost Assumptions'!$O$31)*C$15+'Cost Assumptions'!$O$30)</f>
        <v>65.44</v>
      </c>
      <c r="E27" s="91">
        <f>IF(A27&gt;=$C$11,0,'Cost Assumptions'!$O$20)</f>
        <v>0</v>
      </c>
      <c r="F27" s="91">
        <f>IF(A27&gt;$C$11,0,(D27*('Cost Assumptions'!$O$29+'Cost Assumptions'!$O$24)+'Cost Assumptions'!$O$28*C27)/1000+'Cost Assumptions'!$O$27)</f>
        <v>101307.05596598354</v>
      </c>
      <c r="G27" s="64"/>
      <c r="H27" s="98">
        <f>IF(stageno&gt;3,0,J26+K26)</f>
        <v>46223.12000000001</v>
      </c>
      <c r="I27" s="91">
        <f>IF($C$14=1,'Expl Overrides'!E34,Exploration!D27)</f>
        <v>65.44</v>
      </c>
      <c r="J27" s="98">
        <f>IF(stageno&gt;3,0,H27+I27)</f>
        <v>46288.560000000012</v>
      </c>
      <c r="K27" s="91">
        <f>IF($C$14=1,'Expl Overrides'!F34,Exploration!E27)</f>
        <v>0</v>
      </c>
      <c r="L27" s="100">
        <f>IF(Exploration!$C$14=1,'Expl Overrides'!G34,Exploration!F27)/1000</f>
        <v>101.30705596598354</v>
      </c>
      <c r="M27" s="85">
        <f>IF(I27&gt;0,1,0)</f>
        <v>1</v>
      </c>
      <c r="N27" s="64"/>
      <c r="O27" s="85">
        <f t="shared" si="4"/>
        <v>2026</v>
      </c>
      <c r="P27" s="85">
        <f t="shared" si="0"/>
        <v>2026</v>
      </c>
      <c r="Q27" s="96">
        <f t="shared" si="1"/>
        <v>1.0000000000000355</v>
      </c>
      <c r="R27" s="100">
        <f t="shared" si="2"/>
        <v>101.30705596598713</v>
      </c>
      <c r="S27" s="100">
        <f t="shared" si="3"/>
        <v>-3.5953462429461069E-12</v>
      </c>
      <c r="T27" s="64"/>
      <c r="U27" s="85" t="s">
        <v>202</v>
      </c>
      <c r="V27" s="101">
        <f>V22+V21</f>
        <v>0</v>
      </c>
      <c r="W27" s="64"/>
      <c r="X27" s="655"/>
      <c r="Y27" s="655"/>
      <c r="Z27" s="655"/>
      <c r="AA27" s="655"/>
      <c r="AB27" s="655"/>
    </row>
    <row r="28" spans="1:28">
      <c r="A28" s="85">
        <f>A27+1</f>
        <v>4</v>
      </c>
      <c r="B28" s="85" t="s">
        <v>150</v>
      </c>
      <c r="C28" s="91">
        <f>IF(A28&gt;$C$11,0,Thresholds!$E$3-Input!$B$15)</f>
        <v>0</v>
      </c>
      <c r="D28" s="91">
        <f>IF(A28&gt;$C$11,0,(C28/'Cost Assumptions'!$O$31)*C$15+'Cost Assumptions'!$O$30)</f>
        <v>0</v>
      </c>
      <c r="E28" s="91">
        <f>IF(A28&gt;=$C$11,0,'Cost Assumptions'!$O$20)</f>
        <v>0</v>
      </c>
      <c r="F28" s="91">
        <f>IF(A28&gt;$C$11,0,(D28*('Cost Assumptions'!$O$29+'Cost Assumptions'!$O$24)+'Cost Assumptions'!$O$28*C28)/1000+'Cost Assumptions'!$O$27)</f>
        <v>0</v>
      </c>
      <c r="G28" s="64"/>
      <c r="H28" s="98">
        <f>IF(stageno&gt;3,0,J27+K27)</f>
        <v>46288.560000000012</v>
      </c>
      <c r="I28" s="91">
        <f>IF($C$14=1,'Expl Overrides'!E35,Exploration!D28)</f>
        <v>0</v>
      </c>
      <c r="J28" s="98">
        <f>IF(stageno&gt;3,0,H28+I28)</f>
        <v>46288.560000000012</v>
      </c>
      <c r="K28" s="91">
        <f>IF($C$14=1,'Expl Overrides'!F35,Exploration!E28)</f>
        <v>0</v>
      </c>
      <c r="L28" s="100">
        <f>IF(Exploration!$C$14=1,'Expl Overrides'!G35,Exploration!F28)/1000</f>
        <v>0</v>
      </c>
      <c r="M28" s="85">
        <f>IF(I28&gt;0,1,0)</f>
        <v>0</v>
      </c>
      <c r="N28" s="64"/>
      <c r="O28" s="85">
        <f t="shared" si="4"/>
        <v>2026</v>
      </c>
      <c r="P28" s="85">
        <f t="shared" si="0"/>
        <v>2026</v>
      </c>
      <c r="Q28" s="96">
        <f t="shared" si="1"/>
        <v>0</v>
      </c>
      <c r="R28" s="100">
        <f t="shared" si="2"/>
        <v>0</v>
      </c>
      <c r="S28" s="100">
        <f t="shared" si="3"/>
        <v>0</v>
      </c>
      <c r="T28" s="64"/>
      <c r="U28" s="85" t="s">
        <v>203</v>
      </c>
      <c r="V28" s="101">
        <f>V23</f>
        <v>0</v>
      </c>
      <c r="W28" s="64"/>
      <c r="X28" s="655"/>
      <c r="Y28" s="655"/>
      <c r="Z28" s="655"/>
      <c r="AA28" s="655"/>
      <c r="AB28" s="655"/>
    </row>
    <row r="29" spans="1:28">
      <c r="A29" s="85">
        <f>A28+1</f>
        <v>5</v>
      </c>
      <c r="B29" s="85" t="s">
        <v>151</v>
      </c>
      <c r="C29" s="91">
        <f>IF(A29&gt;$C$11,0,Thresholds!$E$3)</f>
        <v>0</v>
      </c>
      <c r="D29" s="91">
        <f>IF(A29&gt;$C$11,0,(C29/'Cost Assumptions'!$O$31)*C$15+'Cost Assumptions'!$O$30)</f>
        <v>0</v>
      </c>
      <c r="E29" s="91">
        <f>IF(A29&gt;=$C$11,0,'Cost Assumptions'!$O$20)</f>
        <v>0</v>
      </c>
      <c r="F29" s="91">
        <f>IF(A29&gt;$C$11,0,(D29*('Cost Assumptions'!$O$29+'Cost Assumptions'!$O$24)+'Cost Assumptions'!$O$28*C29)/1000+'Cost Assumptions'!$O$27)</f>
        <v>0</v>
      </c>
      <c r="G29" s="64"/>
      <c r="H29" s="98">
        <f>IF(stageno&gt;3,0,J28+K28)</f>
        <v>46288.560000000012</v>
      </c>
      <c r="I29" s="91">
        <f>IF($C$14=1,'Expl Overrides'!E36,Exploration!D29)</f>
        <v>0</v>
      </c>
      <c r="J29" s="98">
        <f>IF(stageno&gt;3,0,H29+I29)</f>
        <v>46288.560000000012</v>
      </c>
      <c r="K29" s="91">
        <f>IF($C$14=1,'Expl Overrides'!F36,Exploration!E29)</f>
        <v>0</v>
      </c>
      <c r="L29" s="100">
        <f>IF(Exploration!$C$14=1,'Expl Overrides'!G36,Exploration!F29)/1000</f>
        <v>0</v>
      </c>
      <c r="M29" s="85">
        <f>IF(I29&gt;0,1,0)</f>
        <v>0</v>
      </c>
      <c r="N29" s="64"/>
      <c r="O29" s="85">
        <f t="shared" si="4"/>
        <v>2026</v>
      </c>
      <c r="P29" s="85">
        <f t="shared" si="0"/>
        <v>2026</v>
      </c>
      <c r="Q29" s="96">
        <f t="shared" si="1"/>
        <v>0</v>
      </c>
      <c r="R29" s="100">
        <f t="shared" si="2"/>
        <v>0</v>
      </c>
      <c r="S29" s="100">
        <f t="shared" si="3"/>
        <v>0</v>
      </c>
      <c r="T29" s="64"/>
      <c r="U29" s="85" t="s">
        <v>204</v>
      </c>
      <c r="V29" s="101">
        <f>V24</f>
        <v>0</v>
      </c>
      <c r="W29" s="64"/>
      <c r="X29" s="64"/>
      <c r="Y29" s="64"/>
      <c r="Z29" s="64"/>
      <c r="AA29" s="64"/>
      <c r="AB29" s="64"/>
    </row>
    <row r="30" spans="1:28">
      <c r="A30" s="64"/>
      <c r="B30" s="64"/>
      <c r="C30" s="64"/>
      <c r="D30" s="64"/>
      <c r="E30" s="64"/>
      <c r="F30" s="64"/>
      <c r="G30" s="64"/>
      <c r="H30" s="64"/>
      <c r="I30" s="64"/>
      <c r="J30" s="64"/>
      <c r="K30" s="64"/>
      <c r="L30" s="64"/>
      <c r="M30" s="102"/>
      <c r="N30" s="102"/>
      <c r="O30" s="102"/>
      <c r="P30" s="64"/>
      <c r="Q30" s="64"/>
      <c r="R30" s="64"/>
      <c r="S30" s="64"/>
      <c r="T30" s="64"/>
      <c r="U30" s="64"/>
      <c r="V30" s="64"/>
      <c r="W30" s="64"/>
      <c r="X30" s="64"/>
      <c r="Y30" s="64"/>
      <c r="Z30" s="64"/>
      <c r="AA30" s="64"/>
      <c r="AB30" s="64"/>
    </row>
    <row r="31" spans="1:28">
      <c r="A31" s="64"/>
      <c r="B31" s="64"/>
      <c r="C31" s="84" t="s">
        <v>205</v>
      </c>
      <c r="D31" s="64"/>
      <c r="E31" s="64"/>
      <c r="F31" s="64"/>
      <c r="G31" s="64"/>
      <c r="H31" s="407"/>
      <c r="I31" s="64" t="s">
        <v>982</v>
      </c>
      <c r="J31" s="64"/>
      <c r="K31" s="64"/>
      <c r="L31" s="64"/>
      <c r="M31" s="102"/>
      <c r="N31" s="102"/>
      <c r="O31" s="102"/>
      <c r="P31" s="84" t="s">
        <v>980</v>
      </c>
      <c r="Q31" s="64"/>
      <c r="R31" s="64"/>
      <c r="S31" s="64"/>
      <c r="T31" s="64"/>
      <c r="U31" s="84" t="s">
        <v>206</v>
      </c>
      <c r="V31" s="64"/>
      <c r="W31" s="64"/>
      <c r="X31" s="64"/>
      <c r="Y31" s="64"/>
      <c r="Z31" s="64"/>
      <c r="AA31" s="64"/>
      <c r="AB31" s="64"/>
    </row>
    <row r="32" spans="1:28" hidden="1">
      <c r="A32" s="64"/>
      <c r="B32" s="64"/>
      <c r="C32" s="64">
        <v>1</v>
      </c>
      <c r="D32" s="64">
        <v>2</v>
      </c>
      <c r="E32" s="64"/>
      <c r="F32" s="64">
        <v>3</v>
      </c>
      <c r="G32" s="64">
        <v>4</v>
      </c>
      <c r="H32" s="64"/>
      <c r="I32" s="64">
        <v>5</v>
      </c>
      <c r="J32" s="64">
        <v>6</v>
      </c>
      <c r="K32" s="64">
        <v>7</v>
      </c>
      <c r="L32" s="64">
        <v>8</v>
      </c>
      <c r="M32" s="64">
        <v>9</v>
      </c>
      <c r="N32" s="64"/>
      <c r="O32" s="64"/>
      <c r="P32" s="64"/>
      <c r="Q32" s="64"/>
      <c r="R32" s="64"/>
      <c r="S32" s="64"/>
      <c r="T32" s="64"/>
      <c r="U32" s="64"/>
      <c r="V32" s="64"/>
      <c r="W32" s="64"/>
      <c r="X32" s="64"/>
      <c r="Y32" s="64"/>
      <c r="Z32" s="64"/>
      <c r="AA32" s="64"/>
      <c r="AB32" s="64"/>
    </row>
    <row r="33" spans="1:28">
      <c r="A33" s="64"/>
      <c r="B33" s="64"/>
      <c r="C33" s="64"/>
      <c r="D33" s="64"/>
      <c r="E33" s="64"/>
      <c r="F33" s="64"/>
      <c r="G33" s="64"/>
      <c r="H33" s="64"/>
      <c r="I33" s="64"/>
      <c r="J33" s="64"/>
      <c r="K33" s="64"/>
      <c r="L33" s="64"/>
      <c r="M33" s="64"/>
      <c r="N33" s="64"/>
      <c r="O33" s="64"/>
      <c r="P33" s="64"/>
      <c r="Q33" s="64"/>
      <c r="R33" s="64"/>
      <c r="S33" s="64"/>
      <c r="T33" s="64"/>
      <c r="U33" s="64"/>
      <c r="V33" s="64"/>
      <c r="W33" s="64"/>
      <c r="X33" s="64"/>
      <c r="Y33" s="64"/>
      <c r="Z33" s="64"/>
      <c r="AA33" s="64"/>
      <c r="AB33" s="64"/>
    </row>
    <row r="34" spans="1:28">
      <c r="A34" s="64"/>
      <c r="B34" s="64"/>
      <c r="C34" s="89" t="s">
        <v>78</v>
      </c>
      <c r="D34" s="89" t="s">
        <v>78</v>
      </c>
      <c r="E34" s="89" t="s">
        <v>13</v>
      </c>
      <c r="F34" s="89" t="s">
        <v>86</v>
      </c>
      <c r="G34" s="89" t="s">
        <v>86</v>
      </c>
      <c r="H34" s="89" t="s">
        <v>13</v>
      </c>
      <c r="I34" s="89" t="s">
        <v>87</v>
      </c>
      <c r="J34" s="89" t="s">
        <v>87</v>
      </c>
      <c r="K34" s="89" t="s">
        <v>87</v>
      </c>
      <c r="L34" s="89" t="s">
        <v>87</v>
      </c>
      <c r="M34" s="89" t="s">
        <v>87</v>
      </c>
      <c r="N34" s="89" t="s">
        <v>13</v>
      </c>
      <c r="O34" s="64"/>
      <c r="P34" s="89" t="s">
        <v>78</v>
      </c>
      <c r="Q34" s="89" t="s">
        <v>86</v>
      </c>
      <c r="R34" s="89" t="s">
        <v>87</v>
      </c>
      <c r="S34" s="89" t="s">
        <v>13</v>
      </c>
      <c r="T34" s="64"/>
      <c r="U34" s="89" t="s">
        <v>78</v>
      </c>
      <c r="V34" s="89" t="s">
        <v>86</v>
      </c>
      <c r="W34" s="89" t="s">
        <v>87</v>
      </c>
      <c r="X34" s="89" t="s">
        <v>13</v>
      </c>
      <c r="Y34" s="64"/>
      <c r="Z34" s="89" t="s">
        <v>207</v>
      </c>
      <c r="AA34" s="64"/>
      <c r="AB34" s="644" t="s">
        <v>981</v>
      </c>
    </row>
    <row r="35" spans="1:28">
      <c r="A35" s="64"/>
      <c r="B35" s="64"/>
      <c r="C35" s="103"/>
      <c r="D35" s="103" t="s">
        <v>208</v>
      </c>
      <c r="E35" s="103" t="s">
        <v>78</v>
      </c>
      <c r="F35" s="97"/>
      <c r="G35" s="97" t="s">
        <v>209</v>
      </c>
      <c r="H35" s="97" t="s">
        <v>86</v>
      </c>
      <c r="I35" s="97" t="s">
        <v>210</v>
      </c>
      <c r="J35" s="97" t="s">
        <v>211</v>
      </c>
      <c r="K35" s="97" t="s">
        <v>212</v>
      </c>
      <c r="L35" s="97" t="s">
        <v>213</v>
      </c>
      <c r="M35" s="97" t="s">
        <v>214</v>
      </c>
      <c r="N35" s="97" t="s">
        <v>87</v>
      </c>
      <c r="O35" s="64"/>
      <c r="P35" s="103"/>
      <c r="Q35" s="103"/>
      <c r="R35" s="103"/>
      <c r="S35" s="103" t="s">
        <v>215</v>
      </c>
      <c r="T35" s="64"/>
      <c r="U35" s="103">
        <f>Exploration!C5</f>
        <v>1</v>
      </c>
      <c r="V35" s="103">
        <f ca="1">Exploration!C6</f>
        <v>1</v>
      </c>
      <c r="W35" s="103">
        <f ca="1">C7*AB19</f>
        <v>1</v>
      </c>
      <c r="X35" s="103" t="s">
        <v>215</v>
      </c>
      <c r="Y35" s="64"/>
      <c r="Z35" s="103"/>
      <c r="AA35" s="64"/>
      <c r="AB35" s="646"/>
    </row>
    <row r="36" spans="1:28">
      <c r="A36" s="64"/>
      <c r="B36" s="104" t="s">
        <v>13</v>
      </c>
      <c r="C36" s="100">
        <f>SUM(C37:C76)</f>
        <v>10.09332</v>
      </c>
      <c r="D36" s="100">
        <f t="shared" ref="D36:N36" si="5">SUM(D37:D76)</f>
        <v>4.7102160000000701</v>
      </c>
      <c r="E36" s="100">
        <f t="shared" si="5"/>
        <v>14.80353600000007</v>
      </c>
      <c r="F36" s="100">
        <f t="shared" si="5"/>
        <v>101.30705596598354</v>
      </c>
      <c r="G36" s="100">
        <f t="shared" si="5"/>
        <v>0.67288800000001014</v>
      </c>
      <c r="H36" s="100">
        <f t="shared" si="5"/>
        <v>101.97994396598355</v>
      </c>
      <c r="I36" s="100">
        <f t="shared" si="5"/>
        <v>101.30705596598713</v>
      </c>
      <c r="J36" s="100">
        <f t="shared" si="5"/>
        <v>101.30705596598713</v>
      </c>
      <c r="K36" s="100">
        <f t="shared" si="5"/>
        <v>101.30705596598713</v>
      </c>
      <c r="L36" s="100">
        <f t="shared" si="5"/>
        <v>0</v>
      </c>
      <c r="M36" s="100">
        <f t="shared" si="5"/>
        <v>0</v>
      </c>
      <c r="N36" s="100">
        <f t="shared" si="5"/>
        <v>303.92116789796137</v>
      </c>
      <c r="O36" s="105"/>
      <c r="P36" s="100">
        <f>SUM(P37:P76)</f>
        <v>14.958808080000072</v>
      </c>
      <c r="Q36" s="100">
        <f>SUM(Q37:Q76)</f>
        <v>105.39100594815656</v>
      </c>
      <c r="R36" s="100">
        <f>SUM(R37:R76)</f>
        <v>328.87856636340621</v>
      </c>
      <c r="S36" s="100">
        <f>SUM(S37:S76)</f>
        <v>449.22838039156284</v>
      </c>
      <c r="T36" s="105"/>
      <c r="U36" s="100">
        <f>SUM(U37:U76)</f>
        <v>14.958808080000072</v>
      </c>
      <c r="V36" s="100">
        <f ca="1">SUM(V37:V76)</f>
        <v>105.39100594815656</v>
      </c>
      <c r="W36" s="100">
        <f ca="1">SUM(W37:W76)</f>
        <v>328.87856636340621</v>
      </c>
      <c r="X36" s="100">
        <f ca="1">SUM(X37:X76)</f>
        <v>449.22838039156284</v>
      </c>
      <c r="Y36" s="105"/>
      <c r="Z36" s="100">
        <f>SUM(Z37:Z76)</f>
        <v>120.34981402815664</v>
      </c>
      <c r="AA36" s="105"/>
      <c r="AB36" s="100">
        <f>SUM(AB37:AB76)</f>
        <v>449.22838039156284</v>
      </c>
    </row>
    <row r="37" spans="1:28">
      <c r="A37" s="64"/>
      <c r="B37" s="106">
        <f>'Success Cash Flow'!A10</f>
        <v>2023</v>
      </c>
      <c r="C37" s="107">
        <f t="shared" ref="C37:D52" si="6">IF($B37=INDEX($O$21:$O$29,C$32,1),INDEX($R$21:$R$29,C$32,1),IF($B37=INDEX($P$21:$P$29,C$32,1),INDEX($S$21:$S$29,C$32,1),0))</f>
        <v>9.6278000000000006</v>
      </c>
      <c r="D37" s="107">
        <f t="shared" si="6"/>
        <v>0</v>
      </c>
      <c r="E37" s="107">
        <f>SUM(C37:D37)</f>
        <v>9.6278000000000006</v>
      </c>
      <c r="F37" s="107">
        <f t="shared" ref="F37:G52" si="7">IF($B37=INDEX($O$21:$O$29,F$32,1),INDEX($R$21:$R$29,F$32,1),IF($B37=INDEX($P$21:$P$29,F$32,1),INDEX($S$21:$S$29,F$32,1),0))</f>
        <v>0</v>
      </c>
      <c r="G37" s="107">
        <f t="shared" si="7"/>
        <v>0</v>
      </c>
      <c r="H37" s="107">
        <f>SUM(F37:G37)</f>
        <v>0</v>
      </c>
      <c r="I37" s="107">
        <f t="shared" ref="I37:M52" si="8">IF($B37=INDEX($O$21:$O$29,I$32,1),INDEX($R$21:$R$29,I$32,1),IF($B37=INDEX($P$21:$P$29,I$32,1),INDEX($S$21:$S$29,I$32,1),0))</f>
        <v>0</v>
      </c>
      <c r="J37" s="107">
        <f t="shared" si="8"/>
        <v>0</v>
      </c>
      <c r="K37" s="107">
        <f t="shared" si="8"/>
        <v>0</v>
      </c>
      <c r="L37" s="107">
        <f t="shared" si="8"/>
        <v>0</v>
      </c>
      <c r="M37" s="107">
        <f t="shared" si="8"/>
        <v>0</v>
      </c>
      <c r="N37" s="107">
        <f>SUM(I37:M37)</f>
        <v>0</v>
      </c>
      <c r="O37" s="105"/>
      <c r="P37" s="107">
        <f>E37*'Selected Economics'!$J11*'Sensitivity Ranges'!$F$46</f>
        <v>9.6278000000000006</v>
      </c>
      <c r="Q37" s="107">
        <f>F37*'Selected Economics'!$J11*'Sensitivity Ranges'!$F$46</f>
        <v>0</v>
      </c>
      <c r="R37" s="107">
        <f>N37*'Selected Economics'!$J11*'Sensitivity Ranges'!$F$46</f>
        <v>0</v>
      </c>
      <c r="S37" s="107">
        <f>SUM(P37:R37)</f>
        <v>9.6278000000000006</v>
      </c>
      <c r="T37" s="105"/>
      <c r="U37" s="107">
        <f t="shared" ref="U37:W76" si="9">P37*U$35</f>
        <v>9.6278000000000006</v>
      </c>
      <c r="V37" s="107">
        <f t="shared" ca="1" si="9"/>
        <v>0</v>
      </c>
      <c r="W37" s="107">
        <f t="shared" ca="1" si="9"/>
        <v>0</v>
      </c>
      <c r="X37" s="107">
        <f ca="1">SUM(U37:W37)</f>
        <v>9.6278000000000006</v>
      </c>
      <c r="Y37" s="105"/>
      <c r="Z37" s="107">
        <f>P37+Q37</f>
        <v>9.6278000000000006</v>
      </c>
      <c r="AA37" s="105"/>
      <c r="AB37" s="107">
        <f>S37*(1+$AB$35)</f>
        <v>9.6278000000000006</v>
      </c>
    </row>
    <row r="38" spans="1:28">
      <c r="A38" s="64"/>
      <c r="B38" s="108">
        <f>B37+1</f>
        <v>2024</v>
      </c>
      <c r="C38" s="109">
        <f t="shared" si="6"/>
        <v>0.46551999999999971</v>
      </c>
      <c r="D38" s="109">
        <f t="shared" si="6"/>
        <v>4.7102160000000701</v>
      </c>
      <c r="E38" s="109">
        <f t="shared" ref="E38:E51" si="10">SUM(C38:D38)</f>
        <v>5.1757360000000698</v>
      </c>
      <c r="F38" s="109">
        <f t="shared" si="7"/>
        <v>67.496754891759394</v>
      </c>
      <c r="G38" s="109">
        <f t="shared" si="7"/>
        <v>0</v>
      </c>
      <c r="H38" s="109">
        <f t="shared" ref="H38:H51" si="11">SUM(F38:G38)</f>
        <v>67.496754891759394</v>
      </c>
      <c r="I38" s="109">
        <f t="shared" si="8"/>
        <v>0</v>
      </c>
      <c r="J38" s="109">
        <f t="shared" si="8"/>
        <v>0</v>
      </c>
      <c r="K38" s="109">
        <f t="shared" si="8"/>
        <v>0</v>
      </c>
      <c r="L38" s="109">
        <f t="shared" si="8"/>
        <v>0</v>
      </c>
      <c r="M38" s="109">
        <f t="shared" si="8"/>
        <v>0</v>
      </c>
      <c r="N38" s="109">
        <f t="shared" ref="N38:N51" si="12">SUM(I38:M38)</f>
        <v>0</v>
      </c>
      <c r="O38" s="105"/>
      <c r="P38" s="109">
        <f>E38*'Selected Economics'!$J12*'Sensitivity Ranges'!$F$46</f>
        <v>5.3310080800000721</v>
      </c>
      <c r="Q38" s="109">
        <f>F38*'Selected Economics'!$J12*'Sensitivity Ranges'!$F$46</f>
        <v>69.521657538512173</v>
      </c>
      <c r="R38" s="109">
        <f>N38*'Selected Economics'!$J12*'Sensitivity Ranges'!$F$46</f>
        <v>0</v>
      </c>
      <c r="S38" s="109">
        <f t="shared" ref="S38:S76" si="13">SUM(P38:R38)</f>
        <v>74.852665618512248</v>
      </c>
      <c r="T38" s="105"/>
      <c r="U38" s="109">
        <f t="shared" si="9"/>
        <v>5.3310080800000721</v>
      </c>
      <c r="V38" s="109">
        <f t="shared" ca="1" si="9"/>
        <v>69.521657538512173</v>
      </c>
      <c r="W38" s="109">
        <f t="shared" ca="1" si="9"/>
        <v>0</v>
      </c>
      <c r="X38" s="109">
        <f t="shared" ref="X38:X51" ca="1" si="14">SUM(U38:W38)</f>
        <v>74.852665618512248</v>
      </c>
      <c r="Y38" s="105"/>
      <c r="Z38" s="109">
        <f t="shared" ref="Z38:Z76" si="15">P38+Q38</f>
        <v>74.852665618512248</v>
      </c>
      <c r="AA38" s="105"/>
      <c r="AB38" s="109">
        <f t="shared" ref="AB38:AB76" si="16">S38*(1+$AB$35)</f>
        <v>74.852665618512248</v>
      </c>
    </row>
    <row r="39" spans="1:28">
      <c r="A39" s="64"/>
      <c r="B39" s="108">
        <f t="shared" ref="B39:B76" si="17">B38+1</f>
        <v>2025</v>
      </c>
      <c r="C39" s="109">
        <f t="shared" si="6"/>
        <v>0</v>
      </c>
      <c r="D39" s="109">
        <f t="shared" si="6"/>
        <v>0</v>
      </c>
      <c r="E39" s="109">
        <f t="shared" si="10"/>
        <v>0</v>
      </c>
      <c r="F39" s="109">
        <f t="shared" si="7"/>
        <v>33.810301074224142</v>
      </c>
      <c r="G39" s="109">
        <f t="shared" si="7"/>
        <v>0.67288800000001014</v>
      </c>
      <c r="H39" s="109">
        <f t="shared" si="11"/>
        <v>34.48318907422415</v>
      </c>
      <c r="I39" s="109">
        <f t="shared" si="8"/>
        <v>101.30705596598713</v>
      </c>
      <c r="J39" s="109">
        <f t="shared" si="8"/>
        <v>0</v>
      </c>
      <c r="K39" s="109">
        <f t="shared" si="8"/>
        <v>0</v>
      </c>
      <c r="L39" s="109">
        <f t="shared" si="8"/>
        <v>0</v>
      </c>
      <c r="M39" s="109">
        <f t="shared" si="8"/>
        <v>0</v>
      </c>
      <c r="N39" s="109">
        <f t="shared" si="12"/>
        <v>101.30705596598713</v>
      </c>
      <c r="O39" s="105"/>
      <c r="P39" s="109">
        <f>E39*'Selected Economics'!$J13*'Sensitivity Ranges'!$F$46</f>
        <v>0</v>
      </c>
      <c r="Q39" s="109">
        <f>F39*'Selected Economics'!$J13*'Sensitivity Ranges'!$F$46</f>
        <v>35.869348409644388</v>
      </c>
      <c r="R39" s="109">
        <f>N39*'Selected Economics'!$J13*'Sensitivity Ranges'!$F$46</f>
        <v>107.47665567431575</v>
      </c>
      <c r="S39" s="109">
        <f t="shared" si="13"/>
        <v>143.34600408396014</v>
      </c>
      <c r="T39" s="105"/>
      <c r="U39" s="109">
        <f t="shared" si="9"/>
        <v>0</v>
      </c>
      <c r="V39" s="109">
        <f t="shared" ca="1" si="9"/>
        <v>35.869348409644388</v>
      </c>
      <c r="W39" s="109">
        <f t="shared" ca="1" si="9"/>
        <v>107.47665567431575</v>
      </c>
      <c r="X39" s="109">
        <f t="shared" ca="1" si="14"/>
        <v>143.34600408396014</v>
      </c>
      <c r="Y39" s="105"/>
      <c r="Z39" s="109">
        <f t="shared" si="15"/>
        <v>35.869348409644388</v>
      </c>
      <c r="AA39" s="105"/>
      <c r="AB39" s="109">
        <f t="shared" si="16"/>
        <v>143.34600408396014</v>
      </c>
    </row>
    <row r="40" spans="1:28">
      <c r="A40" s="64"/>
      <c r="B40" s="108">
        <f t="shared" si="17"/>
        <v>2026</v>
      </c>
      <c r="C40" s="109">
        <f t="shared" si="6"/>
        <v>0</v>
      </c>
      <c r="D40" s="109">
        <f t="shared" si="6"/>
        <v>0</v>
      </c>
      <c r="E40" s="109">
        <f t="shared" si="10"/>
        <v>0</v>
      </c>
      <c r="F40" s="109">
        <f t="shared" si="7"/>
        <v>0</v>
      </c>
      <c r="G40" s="109">
        <f t="shared" si="7"/>
        <v>0</v>
      </c>
      <c r="H40" s="109">
        <f t="shared" si="11"/>
        <v>0</v>
      </c>
      <c r="I40" s="109">
        <f t="shared" si="8"/>
        <v>0</v>
      </c>
      <c r="J40" s="109">
        <f t="shared" si="8"/>
        <v>101.30705596598713</v>
      </c>
      <c r="K40" s="109">
        <f t="shared" si="8"/>
        <v>101.30705596598713</v>
      </c>
      <c r="L40" s="109">
        <f t="shared" si="8"/>
        <v>0</v>
      </c>
      <c r="M40" s="109">
        <f t="shared" si="8"/>
        <v>0</v>
      </c>
      <c r="N40" s="109">
        <f t="shared" si="12"/>
        <v>202.61411193197426</v>
      </c>
      <c r="O40" s="105"/>
      <c r="P40" s="109">
        <f>E40*'Selected Economics'!$J14*'Sensitivity Ranges'!$F$46</f>
        <v>0</v>
      </c>
      <c r="Q40" s="109">
        <f>F40*'Selected Economics'!$J14*'Sensitivity Ranges'!$F$46</f>
        <v>0</v>
      </c>
      <c r="R40" s="109">
        <f>N40*'Selected Economics'!$J14*'Sensitivity Ranges'!$F$46</f>
        <v>221.40191068909044</v>
      </c>
      <c r="S40" s="109">
        <f t="shared" si="13"/>
        <v>221.40191068909044</v>
      </c>
      <c r="T40" s="105"/>
      <c r="U40" s="109">
        <f t="shared" si="9"/>
        <v>0</v>
      </c>
      <c r="V40" s="109">
        <f t="shared" ca="1" si="9"/>
        <v>0</v>
      </c>
      <c r="W40" s="109">
        <f t="shared" ca="1" si="9"/>
        <v>221.40191068909044</v>
      </c>
      <c r="X40" s="109">
        <f t="shared" ca="1" si="14"/>
        <v>221.40191068909044</v>
      </c>
      <c r="Y40" s="105"/>
      <c r="Z40" s="109">
        <f t="shared" si="15"/>
        <v>0</v>
      </c>
      <c r="AA40" s="105"/>
      <c r="AB40" s="109">
        <f t="shared" si="16"/>
        <v>221.40191068909044</v>
      </c>
    </row>
    <row r="41" spans="1:28">
      <c r="A41" s="64"/>
      <c r="B41" s="108">
        <f t="shared" si="17"/>
        <v>2027</v>
      </c>
      <c r="C41" s="109">
        <f t="shared" si="6"/>
        <v>0</v>
      </c>
      <c r="D41" s="109">
        <f t="shared" si="6"/>
        <v>0</v>
      </c>
      <c r="E41" s="109">
        <f t="shared" si="10"/>
        <v>0</v>
      </c>
      <c r="F41" s="109">
        <f t="shared" si="7"/>
        <v>0</v>
      </c>
      <c r="G41" s="109">
        <f t="shared" si="7"/>
        <v>0</v>
      </c>
      <c r="H41" s="109">
        <f t="shared" si="11"/>
        <v>0</v>
      </c>
      <c r="I41" s="109">
        <f t="shared" si="8"/>
        <v>0</v>
      </c>
      <c r="J41" s="109">
        <f t="shared" si="8"/>
        <v>0</v>
      </c>
      <c r="K41" s="109">
        <f t="shared" si="8"/>
        <v>0</v>
      </c>
      <c r="L41" s="109">
        <f t="shared" si="8"/>
        <v>0</v>
      </c>
      <c r="M41" s="109">
        <f t="shared" si="8"/>
        <v>0</v>
      </c>
      <c r="N41" s="109">
        <f t="shared" si="12"/>
        <v>0</v>
      </c>
      <c r="O41" s="105"/>
      <c r="P41" s="109">
        <f>E41*'Selected Economics'!$J15*'Sensitivity Ranges'!$F$46</f>
        <v>0</v>
      </c>
      <c r="Q41" s="109">
        <f>F41*'Selected Economics'!$J15*'Sensitivity Ranges'!$F$46</f>
        <v>0</v>
      </c>
      <c r="R41" s="109">
        <f>N41*'Selected Economics'!$J15*'Sensitivity Ranges'!$F$46</f>
        <v>0</v>
      </c>
      <c r="S41" s="109">
        <f t="shared" si="13"/>
        <v>0</v>
      </c>
      <c r="T41" s="105"/>
      <c r="U41" s="109">
        <f t="shared" si="9"/>
        <v>0</v>
      </c>
      <c r="V41" s="109">
        <f t="shared" ca="1" si="9"/>
        <v>0</v>
      </c>
      <c r="W41" s="109">
        <f t="shared" ca="1" si="9"/>
        <v>0</v>
      </c>
      <c r="X41" s="109">
        <f t="shared" ca="1" si="14"/>
        <v>0</v>
      </c>
      <c r="Y41" s="105"/>
      <c r="Z41" s="109">
        <f t="shared" si="15"/>
        <v>0</v>
      </c>
      <c r="AA41" s="105"/>
      <c r="AB41" s="109">
        <f t="shared" si="16"/>
        <v>0</v>
      </c>
    </row>
    <row r="42" spans="1:28">
      <c r="A42" s="64"/>
      <c r="B42" s="108">
        <f t="shared" si="17"/>
        <v>2028</v>
      </c>
      <c r="C42" s="109">
        <f t="shared" si="6"/>
        <v>0</v>
      </c>
      <c r="D42" s="109">
        <f t="shared" si="6"/>
        <v>0</v>
      </c>
      <c r="E42" s="109">
        <f t="shared" si="10"/>
        <v>0</v>
      </c>
      <c r="F42" s="109">
        <f t="shared" si="7"/>
        <v>0</v>
      </c>
      <c r="G42" s="109">
        <f t="shared" si="7"/>
        <v>0</v>
      </c>
      <c r="H42" s="109">
        <f t="shared" si="11"/>
        <v>0</v>
      </c>
      <c r="I42" s="109">
        <f t="shared" si="8"/>
        <v>0</v>
      </c>
      <c r="J42" s="109">
        <f t="shared" si="8"/>
        <v>0</v>
      </c>
      <c r="K42" s="109">
        <f t="shared" si="8"/>
        <v>0</v>
      </c>
      <c r="L42" s="109">
        <f t="shared" si="8"/>
        <v>0</v>
      </c>
      <c r="M42" s="109">
        <f t="shared" si="8"/>
        <v>0</v>
      </c>
      <c r="N42" s="109">
        <f t="shared" si="12"/>
        <v>0</v>
      </c>
      <c r="O42" s="105"/>
      <c r="P42" s="109">
        <f>E42*'Selected Economics'!$J16*'Sensitivity Ranges'!$F$46</f>
        <v>0</v>
      </c>
      <c r="Q42" s="109">
        <f>F42*'Selected Economics'!$J16*'Sensitivity Ranges'!$F$46</f>
        <v>0</v>
      </c>
      <c r="R42" s="109">
        <f>N42*'Selected Economics'!$J16*'Sensitivity Ranges'!$F$46</f>
        <v>0</v>
      </c>
      <c r="S42" s="109">
        <f t="shared" si="13"/>
        <v>0</v>
      </c>
      <c r="T42" s="105"/>
      <c r="U42" s="109">
        <f t="shared" si="9"/>
        <v>0</v>
      </c>
      <c r="V42" s="109">
        <f t="shared" ca="1" si="9"/>
        <v>0</v>
      </c>
      <c r="W42" s="109">
        <f t="shared" ca="1" si="9"/>
        <v>0</v>
      </c>
      <c r="X42" s="109">
        <f t="shared" ca="1" si="14"/>
        <v>0</v>
      </c>
      <c r="Y42" s="105"/>
      <c r="Z42" s="109">
        <f t="shared" si="15"/>
        <v>0</v>
      </c>
      <c r="AA42" s="105"/>
      <c r="AB42" s="109">
        <f t="shared" si="16"/>
        <v>0</v>
      </c>
    </row>
    <row r="43" spans="1:28">
      <c r="A43" s="64"/>
      <c r="B43" s="108">
        <f t="shared" si="17"/>
        <v>2029</v>
      </c>
      <c r="C43" s="109">
        <f t="shared" si="6"/>
        <v>0</v>
      </c>
      <c r="D43" s="109">
        <f t="shared" si="6"/>
        <v>0</v>
      </c>
      <c r="E43" s="109">
        <f t="shared" si="10"/>
        <v>0</v>
      </c>
      <c r="F43" s="109">
        <f t="shared" si="7"/>
        <v>0</v>
      </c>
      <c r="G43" s="109">
        <f t="shared" si="7"/>
        <v>0</v>
      </c>
      <c r="H43" s="109">
        <f t="shared" si="11"/>
        <v>0</v>
      </c>
      <c r="I43" s="109">
        <f t="shared" si="8"/>
        <v>0</v>
      </c>
      <c r="J43" s="109">
        <f t="shared" si="8"/>
        <v>0</v>
      </c>
      <c r="K43" s="109">
        <f t="shared" si="8"/>
        <v>0</v>
      </c>
      <c r="L43" s="109">
        <f t="shared" si="8"/>
        <v>0</v>
      </c>
      <c r="M43" s="109">
        <f t="shared" si="8"/>
        <v>0</v>
      </c>
      <c r="N43" s="109">
        <f t="shared" si="12"/>
        <v>0</v>
      </c>
      <c r="O43" s="105"/>
      <c r="P43" s="109">
        <f>E43*'Selected Economics'!$J17*'Sensitivity Ranges'!$F$46</f>
        <v>0</v>
      </c>
      <c r="Q43" s="109">
        <f>F43*'Selected Economics'!$J17*'Sensitivity Ranges'!$F$46</f>
        <v>0</v>
      </c>
      <c r="R43" s="109">
        <f>N43*'Selected Economics'!$J17*'Sensitivity Ranges'!$F$46</f>
        <v>0</v>
      </c>
      <c r="S43" s="109">
        <f t="shared" si="13"/>
        <v>0</v>
      </c>
      <c r="T43" s="105"/>
      <c r="U43" s="109">
        <f t="shared" si="9"/>
        <v>0</v>
      </c>
      <c r="V43" s="109">
        <f t="shared" ca="1" si="9"/>
        <v>0</v>
      </c>
      <c r="W43" s="109">
        <f t="shared" ca="1" si="9"/>
        <v>0</v>
      </c>
      <c r="X43" s="109">
        <f t="shared" ca="1" si="14"/>
        <v>0</v>
      </c>
      <c r="Y43" s="105"/>
      <c r="Z43" s="109">
        <f t="shared" si="15"/>
        <v>0</v>
      </c>
      <c r="AA43" s="105"/>
      <c r="AB43" s="109">
        <f t="shared" si="16"/>
        <v>0</v>
      </c>
    </row>
    <row r="44" spans="1:28">
      <c r="A44" s="64"/>
      <c r="B44" s="108">
        <f t="shared" si="17"/>
        <v>2030</v>
      </c>
      <c r="C44" s="109">
        <f t="shared" si="6"/>
        <v>0</v>
      </c>
      <c r="D44" s="109">
        <f t="shared" si="6"/>
        <v>0</v>
      </c>
      <c r="E44" s="109">
        <f t="shared" si="10"/>
        <v>0</v>
      </c>
      <c r="F44" s="109">
        <f t="shared" si="7"/>
        <v>0</v>
      </c>
      <c r="G44" s="109">
        <f t="shared" si="7"/>
        <v>0</v>
      </c>
      <c r="H44" s="109">
        <f t="shared" si="11"/>
        <v>0</v>
      </c>
      <c r="I44" s="109">
        <f t="shared" si="8"/>
        <v>0</v>
      </c>
      <c r="J44" s="109">
        <f t="shared" si="8"/>
        <v>0</v>
      </c>
      <c r="K44" s="109">
        <f t="shared" si="8"/>
        <v>0</v>
      </c>
      <c r="L44" s="109">
        <f t="shared" si="8"/>
        <v>0</v>
      </c>
      <c r="M44" s="109">
        <f t="shared" si="8"/>
        <v>0</v>
      </c>
      <c r="N44" s="109">
        <f t="shared" si="12"/>
        <v>0</v>
      </c>
      <c r="O44" s="105"/>
      <c r="P44" s="109">
        <f>E44*'Selected Economics'!$J18*'Sensitivity Ranges'!$F$46</f>
        <v>0</v>
      </c>
      <c r="Q44" s="109">
        <f>F44*'Selected Economics'!$J18*'Sensitivity Ranges'!$F$46</f>
        <v>0</v>
      </c>
      <c r="R44" s="109">
        <f>N44*'Selected Economics'!$J18*'Sensitivity Ranges'!$F$46</f>
        <v>0</v>
      </c>
      <c r="S44" s="109">
        <f t="shared" si="13"/>
        <v>0</v>
      </c>
      <c r="T44" s="105"/>
      <c r="U44" s="109">
        <f t="shared" si="9"/>
        <v>0</v>
      </c>
      <c r="V44" s="109">
        <f t="shared" ca="1" si="9"/>
        <v>0</v>
      </c>
      <c r="W44" s="109">
        <f t="shared" ca="1" si="9"/>
        <v>0</v>
      </c>
      <c r="X44" s="109">
        <f t="shared" ca="1" si="14"/>
        <v>0</v>
      </c>
      <c r="Y44" s="105"/>
      <c r="Z44" s="109">
        <f t="shared" si="15"/>
        <v>0</v>
      </c>
      <c r="AA44" s="105"/>
      <c r="AB44" s="109">
        <f t="shared" si="16"/>
        <v>0</v>
      </c>
    </row>
    <row r="45" spans="1:28">
      <c r="A45" s="64"/>
      <c r="B45" s="108">
        <f t="shared" si="17"/>
        <v>2031</v>
      </c>
      <c r="C45" s="109">
        <f t="shared" si="6"/>
        <v>0</v>
      </c>
      <c r="D45" s="109">
        <f t="shared" si="6"/>
        <v>0</v>
      </c>
      <c r="E45" s="109">
        <f t="shared" si="10"/>
        <v>0</v>
      </c>
      <c r="F45" s="109">
        <f t="shared" si="7"/>
        <v>0</v>
      </c>
      <c r="G45" s="109">
        <f t="shared" si="7"/>
        <v>0</v>
      </c>
      <c r="H45" s="109">
        <f t="shared" si="11"/>
        <v>0</v>
      </c>
      <c r="I45" s="109">
        <f t="shared" si="8"/>
        <v>0</v>
      </c>
      <c r="J45" s="109">
        <f t="shared" si="8"/>
        <v>0</v>
      </c>
      <c r="K45" s="109">
        <f t="shared" si="8"/>
        <v>0</v>
      </c>
      <c r="L45" s="109">
        <f t="shared" si="8"/>
        <v>0</v>
      </c>
      <c r="M45" s="109">
        <f t="shared" si="8"/>
        <v>0</v>
      </c>
      <c r="N45" s="109">
        <f t="shared" si="12"/>
        <v>0</v>
      </c>
      <c r="O45" s="105"/>
      <c r="P45" s="109">
        <f>E45*'Selected Economics'!$J19*'Sensitivity Ranges'!$F$46</f>
        <v>0</v>
      </c>
      <c r="Q45" s="109">
        <f>F45*'Selected Economics'!$J19*'Sensitivity Ranges'!$F$46</f>
        <v>0</v>
      </c>
      <c r="R45" s="109">
        <f>N45*'Selected Economics'!$J19*'Sensitivity Ranges'!$F$46</f>
        <v>0</v>
      </c>
      <c r="S45" s="109">
        <f t="shared" si="13"/>
        <v>0</v>
      </c>
      <c r="T45" s="105"/>
      <c r="U45" s="109">
        <f t="shared" si="9"/>
        <v>0</v>
      </c>
      <c r="V45" s="109">
        <f t="shared" ca="1" si="9"/>
        <v>0</v>
      </c>
      <c r="W45" s="109">
        <f t="shared" ca="1" si="9"/>
        <v>0</v>
      </c>
      <c r="X45" s="109">
        <f t="shared" ca="1" si="14"/>
        <v>0</v>
      </c>
      <c r="Y45" s="105"/>
      <c r="Z45" s="109">
        <f t="shared" si="15"/>
        <v>0</v>
      </c>
      <c r="AA45" s="105"/>
      <c r="AB45" s="109">
        <f t="shared" si="16"/>
        <v>0</v>
      </c>
    </row>
    <row r="46" spans="1:28">
      <c r="A46" s="64"/>
      <c r="B46" s="108">
        <f t="shared" si="17"/>
        <v>2032</v>
      </c>
      <c r="C46" s="109">
        <f t="shared" si="6"/>
        <v>0</v>
      </c>
      <c r="D46" s="109">
        <f t="shared" si="6"/>
        <v>0</v>
      </c>
      <c r="E46" s="109">
        <f t="shared" si="10"/>
        <v>0</v>
      </c>
      <c r="F46" s="109">
        <f t="shared" si="7"/>
        <v>0</v>
      </c>
      <c r="G46" s="109">
        <f t="shared" si="7"/>
        <v>0</v>
      </c>
      <c r="H46" s="109">
        <f t="shared" si="11"/>
        <v>0</v>
      </c>
      <c r="I46" s="109">
        <f t="shared" si="8"/>
        <v>0</v>
      </c>
      <c r="J46" s="109">
        <f t="shared" si="8"/>
        <v>0</v>
      </c>
      <c r="K46" s="109">
        <f t="shared" si="8"/>
        <v>0</v>
      </c>
      <c r="L46" s="109">
        <f t="shared" si="8"/>
        <v>0</v>
      </c>
      <c r="M46" s="109">
        <f t="shared" si="8"/>
        <v>0</v>
      </c>
      <c r="N46" s="109">
        <f t="shared" si="12"/>
        <v>0</v>
      </c>
      <c r="O46" s="105"/>
      <c r="P46" s="109">
        <f>E46*'Selected Economics'!$J20*'Sensitivity Ranges'!$F$46</f>
        <v>0</v>
      </c>
      <c r="Q46" s="109">
        <f>F46*'Selected Economics'!$J20*'Sensitivity Ranges'!$F$46</f>
        <v>0</v>
      </c>
      <c r="R46" s="109">
        <f>N46*'Selected Economics'!$J20*'Sensitivity Ranges'!$F$46</f>
        <v>0</v>
      </c>
      <c r="S46" s="109">
        <f t="shared" si="13"/>
        <v>0</v>
      </c>
      <c r="T46" s="105"/>
      <c r="U46" s="109">
        <f t="shared" si="9"/>
        <v>0</v>
      </c>
      <c r="V46" s="109">
        <f t="shared" ca="1" si="9"/>
        <v>0</v>
      </c>
      <c r="W46" s="109">
        <f t="shared" ca="1" si="9"/>
        <v>0</v>
      </c>
      <c r="X46" s="109">
        <f t="shared" ca="1" si="14"/>
        <v>0</v>
      </c>
      <c r="Y46" s="105"/>
      <c r="Z46" s="109">
        <f t="shared" si="15"/>
        <v>0</v>
      </c>
      <c r="AA46" s="105"/>
      <c r="AB46" s="109">
        <f t="shared" si="16"/>
        <v>0</v>
      </c>
    </row>
    <row r="47" spans="1:28">
      <c r="A47" s="64"/>
      <c r="B47" s="108">
        <f t="shared" si="17"/>
        <v>2033</v>
      </c>
      <c r="C47" s="109">
        <f t="shared" si="6"/>
        <v>0</v>
      </c>
      <c r="D47" s="109">
        <f t="shared" si="6"/>
        <v>0</v>
      </c>
      <c r="E47" s="109">
        <f t="shared" si="10"/>
        <v>0</v>
      </c>
      <c r="F47" s="109">
        <f t="shared" si="7"/>
        <v>0</v>
      </c>
      <c r="G47" s="109">
        <f t="shared" si="7"/>
        <v>0</v>
      </c>
      <c r="H47" s="109">
        <f t="shared" si="11"/>
        <v>0</v>
      </c>
      <c r="I47" s="109">
        <f t="shared" si="8"/>
        <v>0</v>
      </c>
      <c r="J47" s="109">
        <f t="shared" si="8"/>
        <v>0</v>
      </c>
      <c r="K47" s="109">
        <f t="shared" si="8"/>
        <v>0</v>
      </c>
      <c r="L47" s="109">
        <f t="shared" si="8"/>
        <v>0</v>
      </c>
      <c r="M47" s="109">
        <f t="shared" si="8"/>
        <v>0</v>
      </c>
      <c r="N47" s="109">
        <f t="shared" si="12"/>
        <v>0</v>
      </c>
      <c r="O47" s="105"/>
      <c r="P47" s="109">
        <f>E47*'Selected Economics'!$J21*'Sensitivity Ranges'!$F$46</f>
        <v>0</v>
      </c>
      <c r="Q47" s="109">
        <f>F47*'Selected Economics'!$J21*'Sensitivity Ranges'!$F$46</f>
        <v>0</v>
      </c>
      <c r="R47" s="109">
        <f>N47*'Selected Economics'!$J21*'Sensitivity Ranges'!$F$46</f>
        <v>0</v>
      </c>
      <c r="S47" s="109">
        <f t="shared" si="13"/>
        <v>0</v>
      </c>
      <c r="T47" s="105"/>
      <c r="U47" s="109">
        <f t="shared" si="9"/>
        <v>0</v>
      </c>
      <c r="V47" s="109">
        <f t="shared" ca="1" si="9"/>
        <v>0</v>
      </c>
      <c r="W47" s="109">
        <f t="shared" ca="1" si="9"/>
        <v>0</v>
      </c>
      <c r="X47" s="109">
        <f t="shared" ca="1" si="14"/>
        <v>0</v>
      </c>
      <c r="Y47" s="105"/>
      <c r="Z47" s="109">
        <f t="shared" si="15"/>
        <v>0</v>
      </c>
      <c r="AA47" s="105"/>
      <c r="AB47" s="109">
        <f t="shared" si="16"/>
        <v>0</v>
      </c>
    </row>
    <row r="48" spans="1:28">
      <c r="A48" s="64"/>
      <c r="B48" s="108">
        <f t="shared" si="17"/>
        <v>2034</v>
      </c>
      <c r="C48" s="109">
        <f t="shared" si="6"/>
        <v>0</v>
      </c>
      <c r="D48" s="109">
        <f t="shared" si="6"/>
        <v>0</v>
      </c>
      <c r="E48" s="109">
        <f t="shared" si="10"/>
        <v>0</v>
      </c>
      <c r="F48" s="109">
        <f t="shared" si="7"/>
        <v>0</v>
      </c>
      <c r="G48" s="109">
        <f t="shared" si="7"/>
        <v>0</v>
      </c>
      <c r="H48" s="109">
        <f t="shared" si="11"/>
        <v>0</v>
      </c>
      <c r="I48" s="109">
        <f t="shared" si="8"/>
        <v>0</v>
      </c>
      <c r="J48" s="109">
        <f t="shared" si="8"/>
        <v>0</v>
      </c>
      <c r="K48" s="109">
        <f t="shared" si="8"/>
        <v>0</v>
      </c>
      <c r="L48" s="109">
        <f t="shared" si="8"/>
        <v>0</v>
      </c>
      <c r="M48" s="109">
        <f t="shared" si="8"/>
        <v>0</v>
      </c>
      <c r="N48" s="109">
        <f t="shared" si="12"/>
        <v>0</v>
      </c>
      <c r="O48" s="105"/>
      <c r="P48" s="109">
        <f>E48*'Selected Economics'!$J22*'Sensitivity Ranges'!$F$46</f>
        <v>0</v>
      </c>
      <c r="Q48" s="109">
        <f>F48*'Selected Economics'!$J22*'Sensitivity Ranges'!$F$46</f>
        <v>0</v>
      </c>
      <c r="R48" s="109">
        <f>N48*'Selected Economics'!$J22*'Sensitivity Ranges'!$F$46</f>
        <v>0</v>
      </c>
      <c r="S48" s="109">
        <f t="shared" si="13"/>
        <v>0</v>
      </c>
      <c r="T48" s="105"/>
      <c r="U48" s="109">
        <f t="shared" si="9"/>
        <v>0</v>
      </c>
      <c r="V48" s="109">
        <f t="shared" ca="1" si="9"/>
        <v>0</v>
      </c>
      <c r="W48" s="109">
        <f t="shared" ca="1" si="9"/>
        <v>0</v>
      </c>
      <c r="X48" s="109">
        <f t="shared" ca="1" si="14"/>
        <v>0</v>
      </c>
      <c r="Y48" s="105"/>
      <c r="Z48" s="109">
        <f t="shared" si="15"/>
        <v>0</v>
      </c>
      <c r="AA48" s="105"/>
      <c r="AB48" s="109">
        <f t="shared" si="16"/>
        <v>0</v>
      </c>
    </row>
    <row r="49" spans="1:28">
      <c r="A49" s="64"/>
      <c r="B49" s="108">
        <f t="shared" si="17"/>
        <v>2035</v>
      </c>
      <c r="C49" s="109">
        <f t="shared" si="6"/>
        <v>0</v>
      </c>
      <c r="D49" s="109">
        <f t="shared" si="6"/>
        <v>0</v>
      </c>
      <c r="E49" s="109">
        <f t="shared" si="10"/>
        <v>0</v>
      </c>
      <c r="F49" s="109">
        <f t="shared" si="7"/>
        <v>0</v>
      </c>
      <c r="G49" s="109">
        <f t="shared" si="7"/>
        <v>0</v>
      </c>
      <c r="H49" s="109">
        <f t="shared" si="11"/>
        <v>0</v>
      </c>
      <c r="I49" s="109">
        <f t="shared" si="8"/>
        <v>0</v>
      </c>
      <c r="J49" s="109">
        <f t="shared" si="8"/>
        <v>0</v>
      </c>
      <c r="K49" s="109">
        <f t="shared" si="8"/>
        <v>0</v>
      </c>
      <c r="L49" s="109">
        <f t="shared" si="8"/>
        <v>0</v>
      </c>
      <c r="M49" s="109">
        <f t="shared" si="8"/>
        <v>0</v>
      </c>
      <c r="N49" s="109">
        <f t="shared" si="12"/>
        <v>0</v>
      </c>
      <c r="O49" s="105"/>
      <c r="P49" s="109">
        <f>E49*'Selected Economics'!$J23*'Sensitivity Ranges'!$F$46</f>
        <v>0</v>
      </c>
      <c r="Q49" s="109">
        <f>F49*'Selected Economics'!$J23*'Sensitivity Ranges'!$F$46</f>
        <v>0</v>
      </c>
      <c r="R49" s="109">
        <f>N49*'Selected Economics'!$J23*'Sensitivity Ranges'!$F$46</f>
        <v>0</v>
      </c>
      <c r="S49" s="109">
        <f t="shared" si="13"/>
        <v>0</v>
      </c>
      <c r="T49" s="105"/>
      <c r="U49" s="109">
        <f t="shared" si="9"/>
        <v>0</v>
      </c>
      <c r="V49" s="109">
        <f t="shared" ca="1" si="9"/>
        <v>0</v>
      </c>
      <c r="W49" s="109">
        <f t="shared" ca="1" si="9"/>
        <v>0</v>
      </c>
      <c r="X49" s="109">
        <f t="shared" ca="1" si="14"/>
        <v>0</v>
      </c>
      <c r="Y49" s="105"/>
      <c r="Z49" s="109">
        <f t="shared" si="15"/>
        <v>0</v>
      </c>
      <c r="AA49" s="105"/>
      <c r="AB49" s="109">
        <f t="shared" si="16"/>
        <v>0</v>
      </c>
    </row>
    <row r="50" spans="1:28">
      <c r="A50" s="64"/>
      <c r="B50" s="108">
        <f t="shared" si="17"/>
        <v>2036</v>
      </c>
      <c r="C50" s="109">
        <f t="shared" si="6"/>
        <v>0</v>
      </c>
      <c r="D50" s="109">
        <f t="shared" si="6"/>
        <v>0</v>
      </c>
      <c r="E50" s="109">
        <f t="shared" si="10"/>
        <v>0</v>
      </c>
      <c r="F50" s="109">
        <f t="shared" si="7"/>
        <v>0</v>
      </c>
      <c r="G50" s="109">
        <f t="shared" si="7"/>
        <v>0</v>
      </c>
      <c r="H50" s="109">
        <f t="shared" si="11"/>
        <v>0</v>
      </c>
      <c r="I50" s="109">
        <f t="shared" si="8"/>
        <v>0</v>
      </c>
      <c r="J50" s="109">
        <f t="shared" si="8"/>
        <v>0</v>
      </c>
      <c r="K50" s="109">
        <f t="shared" si="8"/>
        <v>0</v>
      </c>
      <c r="L50" s="109">
        <f t="shared" si="8"/>
        <v>0</v>
      </c>
      <c r="M50" s="109">
        <f t="shared" si="8"/>
        <v>0</v>
      </c>
      <c r="N50" s="109">
        <f t="shared" si="12"/>
        <v>0</v>
      </c>
      <c r="O50" s="105"/>
      <c r="P50" s="109">
        <f>E50*'Selected Economics'!$J24*'Sensitivity Ranges'!$F$46</f>
        <v>0</v>
      </c>
      <c r="Q50" s="109">
        <f>F50*'Selected Economics'!$J24*'Sensitivity Ranges'!$F$46</f>
        <v>0</v>
      </c>
      <c r="R50" s="109">
        <f>N50*'Selected Economics'!$J24*'Sensitivity Ranges'!$F$46</f>
        <v>0</v>
      </c>
      <c r="S50" s="109">
        <f t="shared" si="13"/>
        <v>0</v>
      </c>
      <c r="T50" s="105"/>
      <c r="U50" s="109">
        <f t="shared" si="9"/>
        <v>0</v>
      </c>
      <c r="V50" s="109">
        <f t="shared" ca="1" si="9"/>
        <v>0</v>
      </c>
      <c r="W50" s="109">
        <f t="shared" ca="1" si="9"/>
        <v>0</v>
      </c>
      <c r="X50" s="109">
        <f t="shared" ca="1" si="14"/>
        <v>0</v>
      </c>
      <c r="Y50" s="105"/>
      <c r="Z50" s="109">
        <f t="shared" si="15"/>
        <v>0</v>
      </c>
      <c r="AA50" s="105"/>
      <c r="AB50" s="109">
        <f t="shared" si="16"/>
        <v>0</v>
      </c>
    </row>
    <row r="51" spans="1:28">
      <c r="A51" s="64"/>
      <c r="B51" s="108">
        <f t="shared" si="17"/>
        <v>2037</v>
      </c>
      <c r="C51" s="109">
        <f t="shared" si="6"/>
        <v>0</v>
      </c>
      <c r="D51" s="109">
        <f t="shared" si="6"/>
        <v>0</v>
      </c>
      <c r="E51" s="109">
        <f t="shared" si="10"/>
        <v>0</v>
      </c>
      <c r="F51" s="109">
        <f t="shared" si="7"/>
        <v>0</v>
      </c>
      <c r="G51" s="109">
        <f t="shared" si="7"/>
        <v>0</v>
      </c>
      <c r="H51" s="109">
        <f t="shared" si="11"/>
        <v>0</v>
      </c>
      <c r="I51" s="109">
        <f t="shared" si="8"/>
        <v>0</v>
      </c>
      <c r="J51" s="109">
        <f t="shared" si="8"/>
        <v>0</v>
      </c>
      <c r="K51" s="109">
        <f t="shared" si="8"/>
        <v>0</v>
      </c>
      <c r="L51" s="109">
        <f t="shared" si="8"/>
        <v>0</v>
      </c>
      <c r="M51" s="109">
        <f t="shared" si="8"/>
        <v>0</v>
      </c>
      <c r="N51" s="109">
        <f t="shared" si="12"/>
        <v>0</v>
      </c>
      <c r="O51" s="105"/>
      <c r="P51" s="109">
        <f>E51*'Selected Economics'!$J25*'Sensitivity Ranges'!$F$46</f>
        <v>0</v>
      </c>
      <c r="Q51" s="109">
        <f>F51*'Selected Economics'!$J25*'Sensitivity Ranges'!$F$46</f>
        <v>0</v>
      </c>
      <c r="R51" s="109">
        <f>N51*'Selected Economics'!$J25*'Sensitivity Ranges'!$F$46</f>
        <v>0</v>
      </c>
      <c r="S51" s="109">
        <f t="shared" si="13"/>
        <v>0</v>
      </c>
      <c r="T51" s="105"/>
      <c r="U51" s="109">
        <f t="shared" si="9"/>
        <v>0</v>
      </c>
      <c r="V51" s="109">
        <f t="shared" ca="1" si="9"/>
        <v>0</v>
      </c>
      <c r="W51" s="109">
        <f t="shared" ca="1" si="9"/>
        <v>0</v>
      </c>
      <c r="X51" s="109">
        <f t="shared" ca="1" si="14"/>
        <v>0</v>
      </c>
      <c r="Y51" s="105"/>
      <c r="Z51" s="109">
        <f t="shared" si="15"/>
        <v>0</v>
      </c>
      <c r="AA51" s="105"/>
      <c r="AB51" s="109">
        <f t="shared" si="16"/>
        <v>0</v>
      </c>
    </row>
    <row r="52" spans="1:28">
      <c r="A52" s="64"/>
      <c r="B52" s="108">
        <f t="shared" si="17"/>
        <v>2038</v>
      </c>
      <c r="C52" s="109">
        <f t="shared" si="6"/>
        <v>0</v>
      </c>
      <c r="D52" s="109">
        <f t="shared" si="6"/>
        <v>0</v>
      </c>
      <c r="E52" s="109">
        <f t="shared" ref="E52:E76" si="18">SUM(C52:D52)</f>
        <v>0</v>
      </c>
      <c r="F52" s="109">
        <f t="shared" si="7"/>
        <v>0</v>
      </c>
      <c r="G52" s="109">
        <f t="shared" si="7"/>
        <v>0</v>
      </c>
      <c r="H52" s="109">
        <f t="shared" ref="H52:H76" si="19">SUM(F52:G52)</f>
        <v>0</v>
      </c>
      <c r="I52" s="109">
        <f t="shared" si="8"/>
        <v>0</v>
      </c>
      <c r="J52" s="109">
        <f t="shared" si="8"/>
        <v>0</v>
      </c>
      <c r="K52" s="109">
        <f t="shared" si="8"/>
        <v>0</v>
      </c>
      <c r="L52" s="109">
        <f t="shared" si="8"/>
        <v>0</v>
      </c>
      <c r="M52" s="109">
        <f t="shared" si="8"/>
        <v>0</v>
      </c>
      <c r="N52" s="109">
        <f t="shared" ref="N52:N76" si="20">SUM(I52:M52)</f>
        <v>0</v>
      </c>
      <c r="O52" s="105"/>
      <c r="P52" s="109">
        <f>E52*'Selected Economics'!$J26*'Sensitivity Ranges'!$F$46</f>
        <v>0</v>
      </c>
      <c r="Q52" s="109">
        <f>F52*'Selected Economics'!$J26*'Sensitivity Ranges'!$F$46</f>
        <v>0</v>
      </c>
      <c r="R52" s="109">
        <f>N52*'Selected Economics'!$J26*'Sensitivity Ranges'!$F$46</f>
        <v>0</v>
      </c>
      <c r="S52" s="109">
        <f t="shared" si="13"/>
        <v>0</v>
      </c>
      <c r="T52" s="105"/>
      <c r="U52" s="109">
        <f t="shared" si="9"/>
        <v>0</v>
      </c>
      <c r="V52" s="109">
        <f t="shared" ca="1" si="9"/>
        <v>0</v>
      </c>
      <c r="W52" s="109">
        <f t="shared" ca="1" si="9"/>
        <v>0</v>
      </c>
      <c r="X52" s="109">
        <f t="shared" ref="X52:X76" ca="1" si="21">SUM(U52:W52)</f>
        <v>0</v>
      </c>
      <c r="Y52" s="105"/>
      <c r="Z52" s="109">
        <f t="shared" si="15"/>
        <v>0</v>
      </c>
      <c r="AA52" s="105"/>
      <c r="AB52" s="109">
        <f t="shared" si="16"/>
        <v>0</v>
      </c>
    </row>
    <row r="53" spans="1:28">
      <c r="A53" s="64"/>
      <c r="B53" s="108">
        <f t="shared" si="17"/>
        <v>2039</v>
      </c>
      <c r="C53" s="109">
        <f t="shared" ref="C53:D71" si="22">IF($B53=INDEX($O$21:$O$29,C$32,1),INDEX($R$21:$R$29,C$32,1),IF($B53=INDEX($P$21:$P$29,C$32,1),INDEX($S$21:$S$29,C$32,1),0))</f>
        <v>0</v>
      </c>
      <c r="D53" s="109">
        <f t="shared" si="22"/>
        <v>0</v>
      </c>
      <c r="E53" s="109">
        <f t="shared" si="18"/>
        <v>0</v>
      </c>
      <c r="F53" s="109">
        <f t="shared" ref="F53:G71" si="23">IF($B53=INDEX($O$21:$O$29,F$32,1),INDEX($R$21:$R$29,F$32,1),IF($B53=INDEX($P$21:$P$29,F$32,1),INDEX($S$21:$S$29,F$32,1),0))</f>
        <v>0</v>
      </c>
      <c r="G53" s="109">
        <f t="shared" si="23"/>
        <v>0</v>
      </c>
      <c r="H53" s="109">
        <f t="shared" si="19"/>
        <v>0</v>
      </c>
      <c r="I53" s="109">
        <f t="shared" ref="I53:M71" si="24">IF($B53=INDEX($O$21:$O$29,I$32,1),INDEX($R$21:$R$29,I$32,1),IF($B53=INDEX($P$21:$P$29,I$32,1),INDEX($S$21:$S$29,I$32,1),0))</f>
        <v>0</v>
      </c>
      <c r="J53" s="109">
        <f t="shared" si="24"/>
        <v>0</v>
      </c>
      <c r="K53" s="109">
        <f t="shared" si="24"/>
        <v>0</v>
      </c>
      <c r="L53" s="109">
        <f t="shared" si="24"/>
        <v>0</v>
      </c>
      <c r="M53" s="109">
        <f t="shared" si="24"/>
        <v>0</v>
      </c>
      <c r="N53" s="109">
        <f t="shared" si="20"/>
        <v>0</v>
      </c>
      <c r="O53" s="105"/>
      <c r="P53" s="109">
        <f>E53*'Selected Economics'!$J27*'Sensitivity Ranges'!$F$46</f>
        <v>0</v>
      </c>
      <c r="Q53" s="109">
        <f>F53*'Selected Economics'!$J27*'Sensitivity Ranges'!$F$46</f>
        <v>0</v>
      </c>
      <c r="R53" s="109">
        <f>N53*'Selected Economics'!$J27*'Sensitivity Ranges'!$F$46</f>
        <v>0</v>
      </c>
      <c r="S53" s="109">
        <f t="shared" si="13"/>
        <v>0</v>
      </c>
      <c r="T53" s="105"/>
      <c r="U53" s="109">
        <f t="shared" si="9"/>
        <v>0</v>
      </c>
      <c r="V53" s="109">
        <f t="shared" ca="1" si="9"/>
        <v>0</v>
      </c>
      <c r="W53" s="109">
        <f t="shared" ca="1" si="9"/>
        <v>0</v>
      </c>
      <c r="X53" s="109">
        <f t="shared" ca="1" si="21"/>
        <v>0</v>
      </c>
      <c r="Y53" s="105"/>
      <c r="Z53" s="109">
        <f t="shared" si="15"/>
        <v>0</v>
      </c>
      <c r="AA53" s="105"/>
      <c r="AB53" s="109">
        <f t="shared" si="16"/>
        <v>0</v>
      </c>
    </row>
    <row r="54" spans="1:28">
      <c r="A54" s="64"/>
      <c r="B54" s="108">
        <f t="shared" si="17"/>
        <v>2040</v>
      </c>
      <c r="C54" s="109">
        <f t="shared" si="22"/>
        <v>0</v>
      </c>
      <c r="D54" s="109">
        <f t="shared" si="22"/>
        <v>0</v>
      </c>
      <c r="E54" s="109">
        <f t="shared" si="18"/>
        <v>0</v>
      </c>
      <c r="F54" s="109">
        <f t="shared" si="23"/>
        <v>0</v>
      </c>
      <c r="G54" s="109">
        <f t="shared" si="23"/>
        <v>0</v>
      </c>
      <c r="H54" s="109">
        <f t="shared" si="19"/>
        <v>0</v>
      </c>
      <c r="I54" s="109">
        <f t="shared" si="24"/>
        <v>0</v>
      </c>
      <c r="J54" s="109">
        <f t="shared" si="24"/>
        <v>0</v>
      </c>
      <c r="K54" s="109">
        <f t="shared" si="24"/>
        <v>0</v>
      </c>
      <c r="L54" s="109">
        <f t="shared" si="24"/>
        <v>0</v>
      </c>
      <c r="M54" s="109">
        <f t="shared" si="24"/>
        <v>0</v>
      </c>
      <c r="N54" s="109">
        <f t="shared" si="20"/>
        <v>0</v>
      </c>
      <c r="O54" s="105"/>
      <c r="P54" s="109">
        <f>E54*'Selected Economics'!$J28*'Sensitivity Ranges'!$F$46</f>
        <v>0</v>
      </c>
      <c r="Q54" s="109">
        <f>F54*'Selected Economics'!$J28*'Sensitivity Ranges'!$F$46</f>
        <v>0</v>
      </c>
      <c r="R54" s="109">
        <f>N54*'Selected Economics'!$J28*'Sensitivity Ranges'!$F$46</f>
        <v>0</v>
      </c>
      <c r="S54" s="109">
        <f t="shared" si="13"/>
        <v>0</v>
      </c>
      <c r="T54" s="105"/>
      <c r="U54" s="109">
        <f t="shared" si="9"/>
        <v>0</v>
      </c>
      <c r="V54" s="109">
        <f t="shared" ca="1" si="9"/>
        <v>0</v>
      </c>
      <c r="W54" s="109">
        <f t="shared" ca="1" si="9"/>
        <v>0</v>
      </c>
      <c r="X54" s="109">
        <f t="shared" ca="1" si="21"/>
        <v>0</v>
      </c>
      <c r="Y54" s="105"/>
      <c r="Z54" s="109">
        <f t="shared" si="15"/>
        <v>0</v>
      </c>
      <c r="AA54" s="105"/>
      <c r="AB54" s="109">
        <f t="shared" si="16"/>
        <v>0</v>
      </c>
    </row>
    <row r="55" spans="1:28">
      <c r="A55" s="64"/>
      <c r="B55" s="108">
        <f t="shared" si="17"/>
        <v>2041</v>
      </c>
      <c r="C55" s="109">
        <f t="shared" si="22"/>
        <v>0</v>
      </c>
      <c r="D55" s="109">
        <f t="shared" si="22"/>
        <v>0</v>
      </c>
      <c r="E55" s="109">
        <f t="shared" si="18"/>
        <v>0</v>
      </c>
      <c r="F55" s="109">
        <f t="shared" si="23"/>
        <v>0</v>
      </c>
      <c r="G55" s="109">
        <f t="shared" si="23"/>
        <v>0</v>
      </c>
      <c r="H55" s="109">
        <f t="shared" si="19"/>
        <v>0</v>
      </c>
      <c r="I55" s="109">
        <f t="shared" si="24"/>
        <v>0</v>
      </c>
      <c r="J55" s="109">
        <f t="shared" si="24"/>
        <v>0</v>
      </c>
      <c r="K55" s="109">
        <f t="shared" si="24"/>
        <v>0</v>
      </c>
      <c r="L55" s="109">
        <f t="shared" si="24"/>
        <v>0</v>
      </c>
      <c r="M55" s="109">
        <f t="shared" si="24"/>
        <v>0</v>
      </c>
      <c r="N55" s="109">
        <f t="shared" si="20"/>
        <v>0</v>
      </c>
      <c r="O55" s="105"/>
      <c r="P55" s="109">
        <f>E55*'Selected Economics'!$J29*'Sensitivity Ranges'!$F$46</f>
        <v>0</v>
      </c>
      <c r="Q55" s="109">
        <f>F55*'Selected Economics'!$J29*'Sensitivity Ranges'!$F$46</f>
        <v>0</v>
      </c>
      <c r="R55" s="109">
        <f>N55*'Selected Economics'!$J29*'Sensitivity Ranges'!$F$46</f>
        <v>0</v>
      </c>
      <c r="S55" s="109">
        <f t="shared" si="13"/>
        <v>0</v>
      </c>
      <c r="T55" s="105"/>
      <c r="U55" s="109">
        <f t="shared" si="9"/>
        <v>0</v>
      </c>
      <c r="V55" s="109">
        <f t="shared" ca="1" si="9"/>
        <v>0</v>
      </c>
      <c r="W55" s="109">
        <f t="shared" ca="1" si="9"/>
        <v>0</v>
      </c>
      <c r="X55" s="109">
        <f t="shared" ca="1" si="21"/>
        <v>0</v>
      </c>
      <c r="Y55" s="105"/>
      <c r="Z55" s="109">
        <f t="shared" si="15"/>
        <v>0</v>
      </c>
      <c r="AA55" s="105"/>
      <c r="AB55" s="109">
        <f t="shared" si="16"/>
        <v>0</v>
      </c>
    </row>
    <row r="56" spans="1:28">
      <c r="A56" s="64"/>
      <c r="B56" s="108">
        <f t="shared" si="17"/>
        <v>2042</v>
      </c>
      <c r="C56" s="109">
        <f t="shared" si="22"/>
        <v>0</v>
      </c>
      <c r="D56" s="109">
        <f t="shared" si="22"/>
        <v>0</v>
      </c>
      <c r="E56" s="109">
        <f t="shared" si="18"/>
        <v>0</v>
      </c>
      <c r="F56" s="109">
        <f t="shared" si="23"/>
        <v>0</v>
      </c>
      <c r="G56" s="109">
        <f t="shared" si="23"/>
        <v>0</v>
      </c>
      <c r="H56" s="109">
        <f t="shared" si="19"/>
        <v>0</v>
      </c>
      <c r="I56" s="109">
        <f t="shared" si="24"/>
        <v>0</v>
      </c>
      <c r="J56" s="109">
        <f t="shared" si="24"/>
        <v>0</v>
      </c>
      <c r="K56" s="109">
        <f t="shared" si="24"/>
        <v>0</v>
      </c>
      <c r="L56" s="109">
        <f t="shared" si="24"/>
        <v>0</v>
      </c>
      <c r="M56" s="109">
        <f t="shared" si="24"/>
        <v>0</v>
      </c>
      <c r="N56" s="109">
        <f t="shared" si="20"/>
        <v>0</v>
      </c>
      <c r="O56" s="105"/>
      <c r="P56" s="109">
        <f>E56*'Selected Economics'!$J30*'Sensitivity Ranges'!$F$46</f>
        <v>0</v>
      </c>
      <c r="Q56" s="109">
        <f>F56*'Selected Economics'!$J30*'Sensitivity Ranges'!$F$46</f>
        <v>0</v>
      </c>
      <c r="R56" s="109">
        <f>N56*'Selected Economics'!$J30*'Sensitivity Ranges'!$F$46</f>
        <v>0</v>
      </c>
      <c r="S56" s="109">
        <f t="shared" si="13"/>
        <v>0</v>
      </c>
      <c r="T56" s="105"/>
      <c r="U56" s="109">
        <f t="shared" si="9"/>
        <v>0</v>
      </c>
      <c r="V56" s="109">
        <f t="shared" ca="1" si="9"/>
        <v>0</v>
      </c>
      <c r="W56" s="109">
        <f t="shared" ca="1" si="9"/>
        <v>0</v>
      </c>
      <c r="X56" s="109">
        <f t="shared" ca="1" si="21"/>
        <v>0</v>
      </c>
      <c r="Y56" s="105"/>
      <c r="Z56" s="109">
        <f t="shared" si="15"/>
        <v>0</v>
      </c>
      <c r="AA56" s="105"/>
      <c r="AB56" s="109">
        <f t="shared" si="16"/>
        <v>0</v>
      </c>
    </row>
    <row r="57" spans="1:28">
      <c r="A57" s="64"/>
      <c r="B57" s="108">
        <f t="shared" si="17"/>
        <v>2043</v>
      </c>
      <c r="C57" s="109">
        <f t="shared" si="22"/>
        <v>0</v>
      </c>
      <c r="D57" s="109">
        <f t="shared" si="22"/>
        <v>0</v>
      </c>
      <c r="E57" s="109">
        <f t="shared" si="18"/>
        <v>0</v>
      </c>
      <c r="F57" s="109">
        <f t="shared" si="23"/>
        <v>0</v>
      </c>
      <c r="G57" s="109">
        <f t="shared" si="23"/>
        <v>0</v>
      </c>
      <c r="H57" s="109">
        <f t="shared" si="19"/>
        <v>0</v>
      </c>
      <c r="I57" s="109">
        <f t="shared" si="24"/>
        <v>0</v>
      </c>
      <c r="J57" s="109">
        <f t="shared" si="24"/>
        <v>0</v>
      </c>
      <c r="K57" s="109">
        <f t="shared" si="24"/>
        <v>0</v>
      </c>
      <c r="L57" s="109">
        <f t="shared" si="24"/>
        <v>0</v>
      </c>
      <c r="M57" s="109">
        <f t="shared" si="24"/>
        <v>0</v>
      </c>
      <c r="N57" s="109">
        <f t="shared" si="20"/>
        <v>0</v>
      </c>
      <c r="O57" s="105"/>
      <c r="P57" s="109">
        <f>E57*'Selected Economics'!$J31*'Sensitivity Ranges'!$F$46</f>
        <v>0</v>
      </c>
      <c r="Q57" s="109">
        <f>F57*'Selected Economics'!$J31*'Sensitivity Ranges'!$F$46</f>
        <v>0</v>
      </c>
      <c r="R57" s="109">
        <f>N57*'Selected Economics'!$J31*'Sensitivity Ranges'!$F$46</f>
        <v>0</v>
      </c>
      <c r="S57" s="109">
        <f t="shared" si="13"/>
        <v>0</v>
      </c>
      <c r="T57" s="105"/>
      <c r="U57" s="109">
        <f t="shared" si="9"/>
        <v>0</v>
      </c>
      <c r="V57" s="109">
        <f t="shared" ca="1" si="9"/>
        <v>0</v>
      </c>
      <c r="W57" s="109">
        <f t="shared" ca="1" si="9"/>
        <v>0</v>
      </c>
      <c r="X57" s="109">
        <f t="shared" ca="1" si="21"/>
        <v>0</v>
      </c>
      <c r="Y57" s="105"/>
      <c r="Z57" s="109">
        <f t="shared" si="15"/>
        <v>0</v>
      </c>
      <c r="AA57" s="105"/>
      <c r="AB57" s="109">
        <f t="shared" si="16"/>
        <v>0</v>
      </c>
    </row>
    <row r="58" spans="1:28">
      <c r="A58" s="64"/>
      <c r="B58" s="108">
        <f t="shared" si="17"/>
        <v>2044</v>
      </c>
      <c r="C58" s="109">
        <f t="shared" si="22"/>
        <v>0</v>
      </c>
      <c r="D58" s="109">
        <f t="shared" si="22"/>
        <v>0</v>
      </c>
      <c r="E58" s="109">
        <f t="shared" si="18"/>
        <v>0</v>
      </c>
      <c r="F58" s="109">
        <f t="shared" si="23"/>
        <v>0</v>
      </c>
      <c r="G58" s="109">
        <f t="shared" si="23"/>
        <v>0</v>
      </c>
      <c r="H58" s="109">
        <f t="shared" si="19"/>
        <v>0</v>
      </c>
      <c r="I58" s="109">
        <f t="shared" si="24"/>
        <v>0</v>
      </c>
      <c r="J58" s="109">
        <f t="shared" si="24"/>
        <v>0</v>
      </c>
      <c r="K58" s="109">
        <f t="shared" si="24"/>
        <v>0</v>
      </c>
      <c r="L58" s="109">
        <f t="shared" si="24"/>
        <v>0</v>
      </c>
      <c r="M58" s="109">
        <f t="shared" si="24"/>
        <v>0</v>
      </c>
      <c r="N58" s="109">
        <f t="shared" si="20"/>
        <v>0</v>
      </c>
      <c r="O58" s="105"/>
      <c r="P58" s="109">
        <f>E58*'Selected Economics'!$J32*'Sensitivity Ranges'!$F$46</f>
        <v>0</v>
      </c>
      <c r="Q58" s="109">
        <f>F58*'Selected Economics'!$J32*'Sensitivity Ranges'!$F$46</f>
        <v>0</v>
      </c>
      <c r="R58" s="109">
        <f>N58*'Selected Economics'!$J32*'Sensitivity Ranges'!$F$46</f>
        <v>0</v>
      </c>
      <c r="S58" s="109">
        <f t="shared" si="13"/>
        <v>0</v>
      </c>
      <c r="T58" s="105"/>
      <c r="U58" s="109">
        <f t="shared" si="9"/>
        <v>0</v>
      </c>
      <c r="V58" s="109">
        <f t="shared" ca="1" si="9"/>
        <v>0</v>
      </c>
      <c r="W58" s="109">
        <f t="shared" ca="1" si="9"/>
        <v>0</v>
      </c>
      <c r="X58" s="109">
        <f t="shared" ca="1" si="21"/>
        <v>0</v>
      </c>
      <c r="Y58" s="105"/>
      <c r="Z58" s="109">
        <f t="shared" si="15"/>
        <v>0</v>
      </c>
      <c r="AA58" s="105"/>
      <c r="AB58" s="109">
        <f t="shared" si="16"/>
        <v>0</v>
      </c>
    </row>
    <row r="59" spans="1:28">
      <c r="A59" s="64"/>
      <c r="B59" s="108">
        <f t="shared" si="17"/>
        <v>2045</v>
      </c>
      <c r="C59" s="109">
        <f t="shared" si="22"/>
        <v>0</v>
      </c>
      <c r="D59" s="109">
        <f t="shared" si="22"/>
        <v>0</v>
      </c>
      <c r="E59" s="109">
        <f t="shared" si="18"/>
        <v>0</v>
      </c>
      <c r="F59" s="109">
        <f t="shared" si="23"/>
        <v>0</v>
      </c>
      <c r="G59" s="109">
        <f t="shared" si="23"/>
        <v>0</v>
      </c>
      <c r="H59" s="109">
        <f t="shared" si="19"/>
        <v>0</v>
      </c>
      <c r="I59" s="109">
        <f t="shared" si="24"/>
        <v>0</v>
      </c>
      <c r="J59" s="109">
        <f t="shared" si="24"/>
        <v>0</v>
      </c>
      <c r="K59" s="109">
        <f t="shared" si="24"/>
        <v>0</v>
      </c>
      <c r="L59" s="109">
        <f t="shared" si="24"/>
        <v>0</v>
      </c>
      <c r="M59" s="109">
        <f t="shared" si="24"/>
        <v>0</v>
      </c>
      <c r="N59" s="109">
        <f t="shared" si="20"/>
        <v>0</v>
      </c>
      <c r="O59" s="105"/>
      <c r="P59" s="109">
        <f>E59*'Selected Economics'!$J33*'Sensitivity Ranges'!$F$46</f>
        <v>0</v>
      </c>
      <c r="Q59" s="109">
        <f>F59*'Selected Economics'!$J33*'Sensitivity Ranges'!$F$46</f>
        <v>0</v>
      </c>
      <c r="R59" s="109">
        <f>N59*'Selected Economics'!$J33*'Sensitivity Ranges'!$F$46</f>
        <v>0</v>
      </c>
      <c r="S59" s="109">
        <f t="shared" si="13"/>
        <v>0</v>
      </c>
      <c r="T59" s="105"/>
      <c r="U59" s="109">
        <f t="shared" si="9"/>
        <v>0</v>
      </c>
      <c r="V59" s="109">
        <f t="shared" ca="1" si="9"/>
        <v>0</v>
      </c>
      <c r="W59" s="109">
        <f t="shared" ca="1" si="9"/>
        <v>0</v>
      </c>
      <c r="X59" s="109">
        <f t="shared" ca="1" si="21"/>
        <v>0</v>
      </c>
      <c r="Y59" s="105"/>
      <c r="Z59" s="109">
        <f t="shared" si="15"/>
        <v>0</v>
      </c>
      <c r="AA59" s="105"/>
      <c r="AB59" s="109">
        <f t="shared" si="16"/>
        <v>0</v>
      </c>
    </row>
    <row r="60" spans="1:28">
      <c r="A60" s="64"/>
      <c r="B60" s="108">
        <f t="shared" si="17"/>
        <v>2046</v>
      </c>
      <c r="C60" s="109">
        <f t="shared" si="22"/>
        <v>0</v>
      </c>
      <c r="D60" s="109">
        <f t="shared" si="22"/>
        <v>0</v>
      </c>
      <c r="E60" s="109">
        <f t="shared" si="18"/>
        <v>0</v>
      </c>
      <c r="F60" s="109">
        <f t="shared" si="23"/>
        <v>0</v>
      </c>
      <c r="G60" s="109">
        <f t="shared" si="23"/>
        <v>0</v>
      </c>
      <c r="H60" s="109">
        <f t="shared" si="19"/>
        <v>0</v>
      </c>
      <c r="I60" s="109">
        <f t="shared" si="24"/>
        <v>0</v>
      </c>
      <c r="J60" s="109">
        <f t="shared" si="24"/>
        <v>0</v>
      </c>
      <c r="K60" s="109">
        <f t="shared" si="24"/>
        <v>0</v>
      </c>
      <c r="L60" s="109">
        <f t="shared" si="24"/>
        <v>0</v>
      </c>
      <c r="M60" s="109">
        <f t="shared" si="24"/>
        <v>0</v>
      </c>
      <c r="N60" s="109">
        <f t="shared" si="20"/>
        <v>0</v>
      </c>
      <c r="O60" s="105"/>
      <c r="P60" s="109">
        <f>E60*'Selected Economics'!$J34*'Sensitivity Ranges'!$F$46</f>
        <v>0</v>
      </c>
      <c r="Q60" s="109">
        <f>F60*'Selected Economics'!$J34*'Sensitivity Ranges'!$F$46</f>
        <v>0</v>
      </c>
      <c r="R60" s="109">
        <f>N60*'Selected Economics'!$J34*'Sensitivity Ranges'!$F$46</f>
        <v>0</v>
      </c>
      <c r="S60" s="109">
        <f t="shared" si="13"/>
        <v>0</v>
      </c>
      <c r="T60" s="105"/>
      <c r="U60" s="109">
        <f t="shared" si="9"/>
        <v>0</v>
      </c>
      <c r="V60" s="109">
        <f t="shared" ca="1" si="9"/>
        <v>0</v>
      </c>
      <c r="W60" s="109">
        <f t="shared" ca="1" si="9"/>
        <v>0</v>
      </c>
      <c r="X60" s="109">
        <f t="shared" ca="1" si="21"/>
        <v>0</v>
      </c>
      <c r="Y60" s="105"/>
      <c r="Z60" s="109">
        <f t="shared" si="15"/>
        <v>0</v>
      </c>
      <c r="AA60" s="105"/>
      <c r="AB60" s="109">
        <f t="shared" si="16"/>
        <v>0</v>
      </c>
    </row>
    <row r="61" spans="1:28">
      <c r="A61" s="64"/>
      <c r="B61" s="108">
        <f t="shared" si="17"/>
        <v>2047</v>
      </c>
      <c r="C61" s="109">
        <f t="shared" si="22"/>
        <v>0</v>
      </c>
      <c r="D61" s="109">
        <f t="shared" si="22"/>
        <v>0</v>
      </c>
      <c r="E61" s="109">
        <f t="shared" si="18"/>
        <v>0</v>
      </c>
      <c r="F61" s="109">
        <f t="shared" si="23"/>
        <v>0</v>
      </c>
      <c r="G61" s="109">
        <f t="shared" si="23"/>
        <v>0</v>
      </c>
      <c r="H61" s="109">
        <f t="shared" si="19"/>
        <v>0</v>
      </c>
      <c r="I61" s="109">
        <f t="shared" si="24"/>
        <v>0</v>
      </c>
      <c r="J61" s="109">
        <f t="shared" si="24"/>
        <v>0</v>
      </c>
      <c r="K61" s="109">
        <f t="shared" si="24"/>
        <v>0</v>
      </c>
      <c r="L61" s="109">
        <f t="shared" si="24"/>
        <v>0</v>
      </c>
      <c r="M61" s="109">
        <f t="shared" si="24"/>
        <v>0</v>
      </c>
      <c r="N61" s="109">
        <f t="shared" si="20"/>
        <v>0</v>
      </c>
      <c r="O61" s="105"/>
      <c r="P61" s="109">
        <f>E61*'Selected Economics'!$J35*'Sensitivity Ranges'!$F$46</f>
        <v>0</v>
      </c>
      <c r="Q61" s="109">
        <f>F61*'Selected Economics'!$J35*'Sensitivity Ranges'!$F$46</f>
        <v>0</v>
      </c>
      <c r="R61" s="109">
        <f>N61*'Selected Economics'!$J35*'Sensitivity Ranges'!$F$46</f>
        <v>0</v>
      </c>
      <c r="S61" s="109">
        <f t="shared" si="13"/>
        <v>0</v>
      </c>
      <c r="T61" s="105"/>
      <c r="U61" s="109">
        <f t="shared" si="9"/>
        <v>0</v>
      </c>
      <c r="V61" s="109">
        <f t="shared" ca="1" si="9"/>
        <v>0</v>
      </c>
      <c r="W61" s="109">
        <f t="shared" ca="1" si="9"/>
        <v>0</v>
      </c>
      <c r="X61" s="109">
        <f t="shared" ca="1" si="21"/>
        <v>0</v>
      </c>
      <c r="Y61" s="105"/>
      <c r="Z61" s="109">
        <f t="shared" si="15"/>
        <v>0</v>
      </c>
      <c r="AA61" s="105"/>
      <c r="AB61" s="109">
        <f t="shared" si="16"/>
        <v>0</v>
      </c>
    </row>
    <row r="62" spans="1:28">
      <c r="A62" s="64"/>
      <c r="B62" s="108">
        <f t="shared" si="17"/>
        <v>2048</v>
      </c>
      <c r="C62" s="109">
        <f t="shared" si="22"/>
        <v>0</v>
      </c>
      <c r="D62" s="109">
        <f t="shared" si="22"/>
        <v>0</v>
      </c>
      <c r="E62" s="109">
        <f t="shared" si="18"/>
        <v>0</v>
      </c>
      <c r="F62" s="109">
        <f t="shared" si="23"/>
        <v>0</v>
      </c>
      <c r="G62" s="109">
        <f t="shared" si="23"/>
        <v>0</v>
      </c>
      <c r="H62" s="109">
        <f t="shared" si="19"/>
        <v>0</v>
      </c>
      <c r="I62" s="109">
        <f t="shared" si="24"/>
        <v>0</v>
      </c>
      <c r="J62" s="109">
        <f t="shared" si="24"/>
        <v>0</v>
      </c>
      <c r="K62" s="109">
        <f t="shared" si="24"/>
        <v>0</v>
      </c>
      <c r="L62" s="109">
        <f t="shared" si="24"/>
        <v>0</v>
      </c>
      <c r="M62" s="109">
        <f t="shared" si="24"/>
        <v>0</v>
      </c>
      <c r="N62" s="109">
        <f t="shared" si="20"/>
        <v>0</v>
      </c>
      <c r="O62" s="105"/>
      <c r="P62" s="109">
        <f>E62*'Selected Economics'!$J36*'Sensitivity Ranges'!$F$46</f>
        <v>0</v>
      </c>
      <c r="Q62" s="109">
        <f>F62*'Selected Economics'!$J36*'Sensitivity Ranges'!$F$46</f>
        <v>0</v>
      </c>
      <c r="R62" s="109">
        <f>N62*'Selected Economics'!$J36*'Sensitivity Ranges'!$F$46</f>
        <v>0</v>
      </c>
      <c r="S62" s="109">
        <f t="shared" si="13"/>
        <v>0</v>
      </c>
      <c r="T62" s="105"/>
      <c r="U62" s="109">
        <f t="shared" si="9"/>
        <v>0</v>
      </c>
      <c r="V62" s="109">
        <f t="shared" ca="1" si="9"/>
        <v>0</v>
      </c>
      <c r="W62" s="109">
        <f t="shared" ca="1" si="9"/>
        <v>0</v>
      </c>
      <c r="X62" s="109">
        <f t="shared" ca="1" si="21"/>
        <v>0</v>
      </c>
      <c r="Y62" s="105"/>
      <c r="Z62" s="109">
        <f t="shared" si="15"/>
        <v>0</v>
      </c>
      <c r="AA62" s="105"/>
      <c r="AB62" s="109">
        <f t="shared" si="16"/>
        <v>0</v>
      </c>
    </row>
    <row r="63" spans="1:28">
      <c r="A63" s="64"/>
      <c r="B63" s="108">
        <f t="shared" si="17"/>
        <v>2049</v>
      </c>
      <c r="C63" s="109">
        <f t="shared" si="22"/>
        <v>0</v>
      </c>
      <c r="D63" s="109">
        <f t="shared" si="22"/>
        <v>0</v>
      </c>
      <c r="E63" s="109">
        <f t="shared" si="18"/>
        <v>0</v>
      </c>
      <c r="F63" s="109">
        <f t="shared" si="23"/>
        <v>0</v>
      </c>
      <c r="G63" s="109">
        <f t="shared" si="23"/>
        <v>0</v>
      </c>
      <c r="H63" s="109">
        <f t="shared" si="19"/>
        <v>0</v>
      </c>
      <c r="I63" s="109">
        <f t="shared" si="24"/>
        <v>0</v>
      </c>
      <c r="J63" s="109">
        <f t="shared" si="24"/>
        <v>0</v>
      </c>
      <c r="K63" s="109">
        <f t="shared" si="24"/>
        <v>0</v>
      </c>
      <c r="L63" s="109">
        <f t="shared" si="24"/>
        <v>0</v>
      </c>
      <c r="M63" s="109">
        <f t="shared" si="24"/>
        <v>0</v>
      </c>
      <c r="N63" s="109">
        <f t="shared" si="20"/>
        <v>0</v>
      </c>
      <c r="O63" s="105"/>
      <c r="P63" s="109">
        <f>E63*'Selected Economics'!$J37*'Sensitivity Ranges'!$F$46</f>
        <v>0</v>
      </c>
      <c r="Q63" s="109">
        <f>F63*'Selected Economics'!$J37*'Sensitivity Ranges'!$F$46</f>
        <v>0</v>
      </c>
      <c r="R63" s="109">
        <f>N63*'Selected Economics'!$J37*'Sensitivity Ranges'!$F$46</f>
        <v>0</v>
      </c>
      <c r="S63" s="109">
        <f t="shared" si="13"/>
        <v>0</v>
      </c>
      <c r="T63" s="105"/>
      <c r="U63" s="109">
        <f t="shared" si="9"/>
        <v>0</v>
      </c>
      <c r="V63" s="109">
        <f t="shared" ca="1" si="9"/>
        <v>0</v>
      </c>
      <c r="W63" s="109">
        <f t="shared" ca="1" si="9"/>
        <v>0</v>
      </c>
      <c r="X63" s="109">
        <f t="shared" ca="1" si="21"/>
        <v>0</v>
      </c>
      <c r="Y63" s="105"/>
      <c r="Z63" s="109">
        <f t="shared" si="15"/>
        <v>0</v>
      </c>
      <c r="AA63" s="105"/>
      <c r="AB63" s="109">
        <f t="shared" si="16"/>
        <v>0</v>
      </c>
    </row>
    <row r="64" spans="1:28">
      <c r="A64" s="64"/>
      <c r="B64" s="108">
        <f t="shared" si="17"/>
        <v>2050</v>
      </c>
      <c r="C64" s="109">
        <f t="shared" si="22"/>
        <v>0</v>
      </c>
      <c r="D64" s="109">
        <f t="shared" si="22"/>
        <v>0</v>
      </c>
      <c r="E64" s="109">
        <f t="shared" si="18"/>
        <v>0</v>
      </c>
      <c r="F64" s="109">
        <f t="shared" si="23"/>
        <v>0</v>
      </c>
      <c r="G64" s="109">
        <f t="shared" si="23"/>
        <v>0</v>
      </c>
      <c r="H64" s="109">
        <f t="shared" si="19"/>
        <v>0</v>
      </c>
      <c r="I64" s="109">
        <f t="shared" si="24"/>
        <v>0</v>
      </c>
      <c r="J64" s="109">
        <f t="shared" si="24"/>
        <v>0</v>
      </c>
      <c r="K64" s="109">
        <f t="shared" si="24"/>
        <v>0</v>
      </c>
      <c r="L64" s="109">
        <f t="shared" si="24"/>
        <v>0</v>
      </c>
      <c r="M64" s="109">
        <f t="shared" si="24"/>
        <v>0</v>
      </c>
      <c r="N64" s="109">
        <f t="shared" si="20"/>
        <v>0</v>
      </c>
      <c r="O64" s="105"/>
      <c r="P64" s="109">
        <f>E64*'Selected Economics'!$J38*'Sensitivity Ranges'!$F$46</f>
        <v>0</v>
      </c>
      <c r="Q64" s="109">
        <f>F64*'Selected Economics'!$J38*'Sensitivity Ranges'!$F$46</f>
        <v>0</v>
      </c>
      <c r="R64" s="109">
        <f>N64*'Selected Economics'!$J38*'Sensitivity Ranges'!$F$46</f>
        <v>0</v>
      </c>
      <c r="S64" s="109">
        <f t="shared" si="13"/>
        <v>0</v>
      </c>
      <c r="T64" s="105"/>
      <c r="U64" s="109">
        <f t="shared" si="9"/>
        <v>0</v>
      </c>
      <c r="V64" s="109">
        <f t="shared" ca="1" si="9"/>
        <v>0</v>
      </c>
      <c r="W64" s="109">
        <f t="shared" ca="1" si="9"/>
        <v>0</v>
      </c>
      <c r="X64" s="109">
        <f t="shared" ca="1" si="21"/>
        <v>0</v>
      </c>
      <c r="Y64" s="105"/>
      <c r="Z64" s="109">
        <f t="shared" si="15"/>
        <v>0</v>
      </c>
      <c r="AA64" s="105"/>
      <c r="AB64" s="109">
        <f t="shared" si="16"/>
        <v>0</v>
      </c>
    </row>
    <row r="65" spans="1:28">
      <c r="A65" s="64"/>
      <c r="B65" s="108">
        <f t="shared" si="17"/>
        <v>2051</v>
      </c>
      <c r="C65" s="109">
        <f t="shared" si="22"/>
        <v>0</v>
      </c>
      <c r="D65" s="109">
        <f t="shared" si="22"/>
        <v>0</v>
      </c>
      <c r="E65" s="109">
        <f t="shared" si="18"/>
        <v>0</v>
      </c>
      <c r="F65" s="109">
        <f t="shared" si="23"/>
        <v>0</v>
      </c>
      <c r="G65" s="109">
        <f t="shared" si="23"/>
        <v>0</v>
      </c>
      <c r="H65" s="109">
        <f t="shared" si="19"/>
        <v>0</v>
      </c>
      <c r="I65" s="109">
        <f t="shared" si="24"/>
        <v>0</v>
      </c>
      <c r="J65" s="109">
        <f t="shared" si="24"/>
        <v>0</v>
      </c>
      <c r="K65" s="109">
        <f t="shared" si="24"/>
        <v>0</v>
      </c>
      <c r="L65" s="109">
        <f t="shared" si="24"/>
        <v>0</v>
      </c>
      <c r="M65" s="109">
        <f t="shared" si="24"/>
        <v>0</v>
      </c>
      <c r="N65" s="109">
        <f t="shared" si="20"/>
        <v>0</v>
      </c>
      <c r="O65" s="105"/>
      <c r="P65" s="109">
        <f>E65*'Selected Economics'!$J39*'Sensitivity Ranges'!$F$46</f>
        <v>0</v>
      </c>
      <c r="Q65" s="109">
        <f>F65*'Selected Economics'!$J39*'Sensitivity Ranges'!$F$46</f>
        <v>0</v>
      </c>
      <c r="R65" s="109">
        <f>N65*'Selected Economics'!$J39*'Sensitivity Ranges'!$F$46</f>
        <v>0</v>
      </c>
      <c r="S65" s="109">
        <f t="shared" si="13"/>
        <v>0</v>
      </c>
      <c r="T65" s="105"/>
      <c r="U65" s="109">
        <f t="shared" si="9"/>
        <v>0</v>
      </c>
      <c r="V65" s="109">
        <f t="shared" ca="1" si="9"/>
        <v>0</v>
      </c>
      <c r="W65" s="109">
        <f t="shared" ca="1" si="9"/>
        <v>0</v>
      </c>
      <c r="X65" s="109">
        <f t="shared" ca="1" si="21"/>
        <v>0</v>
      </c>
      <c r="Y65" s="105"/>
      <c r="Z65" s="109">
        <f t="shared" si="15"/>
        <v>0</v>
      </c>
      <c r="AA65" s="105"/>
      <c r="AB65" s="109">
        <f t="shared" si="16"/>
        <v>0</v>
      </c>
    </row>
    <row r="66" spans="1:28">
      <c r="A66" s="64"/>
      <c r="B66" s="108">
        <f t="shared" si="17"/>
        <v>2052</v>
      </c>
      <c r="C66" s="109">
        <f t="shared" si="22"/>
        <v>0</v>
      </c>
      <c r="D66" s="109">
        <f t="shared" si="22"/>
        <v>0</v>
      </c>
      <c r="E66" s="109">
        <f t="shared" si="18"/>
        <v>0</v>
      </c>
      <c r="F66" s="109">
        <f t="shared" si="23"/>
        <v>0</v>
      </c>
      <c r="G66" s="109">
        <f t="shared" si="23"/>
        <v>0</v>
      </c>
      <c r="H66" s="109">
        <f t="shared" si="19"/>
        <v>0</v>
      </c>
      <c r="I66" s="109">
        <f t="shared" si="24"/>
        <v>0</v>
      </c>
      <c r="J66" s="109">
        <f t="shared" si="24"/>
        <v>0</v>
      </c>
      <c r="K66" s="109">
        <f t="shared" si="24"/>
        <v>0</v>
      </c>
      <c r="L66" s="109">
        <f t="shared" si="24"/>
        <v>0</v>
      </c>
      <c r="M66" s="109">
        <f t="shared" si="24"/>
        <v>0</v>
      </c>
      <c r="N66" s="109">
        <f t="shared" si="20"/>
        <v>0</v>
      </c>
      <c r="O66" s="105"/>
      <c r="P66" s="109">
        <f>E66*'Selected Economics'!$J40*'Sensitivity Ranges'!$F$46</f>
        <v>0</v>
      </c>
      <c r="Q66" s="109">
        <f>F66*'Selected Economics'!$J40*'Sensitivity Ranges'!$F$46</f>
        <v>0</v>
      </c>
      <c r="R66" s="109">
        <f>N66*'Selected Economics'!$J40*'Sensitivity Ranges'!$F$46</f>
        <v>0</v>
      </c>
      <c r="S66" s="109">
        <f t="shared" si="13"/>
        <v>0</v>
      </c>
      <c r="T66" s="105"/>
      <c r="U66" s="109">
        <f t="shared" si="9"/>
        <v>0</v>
      </c>
      <c r="V66" s="109">
        <f t="shared" ca="1" si="9"/>
        <v>0</v>
      </c>
      <c r="W66" s="109">
        <f t="shared" ca="1" si="9"/>
        <v>0</v>
      </c>
      <c r="X66" s="109">
        <f t="shared" ca="1" si="21"/>
        <v>0</v>
      </c>
      <c r="Y66" s="105"/>
      <c r="Z66" s="109">
        <f t="shared" si="15"/>
        <v>0</v>
      </c>
      <c r="AA66" s="105"/>
      <c r="AB66" s="109">
        <f t="shared" si="16"/>
        <v>0</v>
      </c>
    </row>
    <row r="67" spans="1:28">
      <c r="A67" s="64"/>
      <c r="B67" s="108">
        <f t="shared" si="17"/>
        <v>2053</v>
      </c>
      <c r="C67" s="109">
        <f t="shared" si="22"/>
        <v>0</v>
      </c>
      <c r="D67" s="109">
        <f t="shared" si="22"/>
        <v>0</v>
      </c>
      <c r="E67" s="109">
        <f t="shared" si="18"/>
        <v>0</v>
      </c>
      <c r="F67" s="109">
        <f t="shared" si="23"/>
        <v>0</v>
      </c>
      <c r="G67" s="109">
        <f t="shared" si="23"/>
        <v>0</v>
      </c>
      <c r="H67" s="109">
        <f t="shared" si="19"/>
        <v>0</v>
      </c>
      <c r="I67" s="109">
        <f t="shared" si="24"/>
        <v>0</v>
      </c>
      <c r="J67" s="109">
        <f t="shared" si="24"/>
        <v>0</v>
      </c>
      <c r="K67" s="109">
        <f t="shared" si="24"/>
        <v>0</v>
      </c>
      <c r="L67" s="109">
        <f t="shared" si="24"/>
        <v>0</v>
      </c>
      <c r="M67" s="109">
        <f t="shared" si="24"/>
        <v>0</v>
      </c>
      <c r="N67" s="109">
        <f t="shared" si="20"/>
        <v>0</v>
      </c>
      <c r="O67" s="105"/>
      <c r="P67" s="109">
        <f>E67*'Selected Economics'!$J41*'Sensitivity Ranges'!$F$46</f>
        <v>0</v>
      </c>
      <c r="Q67" s="109">
        <f>F67*'Selected Economics'!$J41*'Sensitivity Ranges'!$F$46</f>
        <v>0</v>
      </c>
      <c r="R67" s="109">
        <f>N67*'Selected Economics'!$J41*'Sensitivity Ranges'!$F$46</f>
        <v>0</v>
      </c>
      <c r="S67" s="109">
        <f t="shared" si="13"/>
        <v>0</v>
      </c>
      <c r="T67" s="105"/>
      <c r="U67" s="109">
        <f t="shared" si="9"/>
        <v>0</v>
      </c>
      <c r="V67" s="109">
        <f t="shared" ca="1" si="9"/>
        <v>0</v>
      </c>
      <c r="W67" s="109">
        <f t="shared" ca="1" si="9"/>
        <v>0</v>
      </c>
      <c r="X67" s="109">
        <f t="shared" ca="1" si="21"/>
        <v>0</v>
      </c>
      <c r="Y67" s="105"/>
      <c r="Z67" s="109">
        <f t="shared" si="15"/>
        <v>0</v>
      </c>
      <c r="AA67" s="105"/>
      <c r="AB67" s="109">
        <f t="shared" si="16"/>
        <v>0</v>
      </c>
    </row>
    <row r="68" spans="1:28">
      <c r="A68" s="64"/>
      <c r="B68" s="108">
        <f t="shared" si="17"/>
        <v>2054</v>
      </c>
      <c r="C68" s="109">
        <f t="shared" si="22"/>
        <v>0</v>
      </c>
      <c r="D68" s="109">
        <f t="shared" si="22"/>
        <v>0</v>
      </c>
      <c r="E68" s="109">
        <f t="shared" si="18"/>
        <v>0</v>
      </c>
      <c r="F68" s="109">
        <f t="shared" si="23"/>
        <v>0</v>
      </c>
      <c r="G68" s="109">
        <f t="shared" si="23"/>
        <v>0</v>
      </c>
      <c r="H68" s="109">
        <f t="shared" si="19"/>
        <v>0</v>
      </c>
      <c r="I68" s="109">
        <f t="shared" si="24"/>
        <v>0</v>
      </c>
      <c r="J68" s="109">
        <f t="shared" si="24"/>
        <v>0</v>
      </c>
      <c r="K68" s="109">
        <f t="shared" si="24"/>
        <v>0</v>
      </c>
      <c r="L68" s="109">
        <f t="shared" si="24"/>
        <v>0</v>
      </c>
      <c r="M68" s="109">
        <f t="shared" si="24"/>
        <v>0</v>
      </c>
      <c r="N68" s="109">
        <f t="shared" si="20"/>
        <v>0</v>
      </c>
      <c r="O68" s="105"/>
      <c r="P68" s="109">
        <f>E68*'Selected Economics'!$J42*'Sensitivity Ranges'!$F$46</f>
        <v>0</v>
      </c>
      <c r="Q68" s="109">
        <f>F68*'Selected Economics'!$J42*'Sensitivity Ranges'!$F$46</f>
        <v>0</v>
      </c>
      <c r="R68" s="109">
        <f>N68*'Selected Economics'!$J42*'Sensitivity Ranges'!$F$46</f>
        <v>0</v>
      </c>
      <c r="S68" s="109">
        <f t="shared" si="13"/>
        <v>0</v>
      </c>
      <c r="T68" s="105"/>
      <c r="U68" s="109">
        <f t="shared" si="9"/>
        <v>0</v>
      </c>
      <c r="V68" s="109">
        <f t="shared" ca="1" si="9"/>
        <v>0</v>
      </c>
      <c r="W68" s="109">
        <f t="shared" ca="1" si="9"/>
        <v>0</v>
      </c>
      <c r="X68" s="109">
        <f t="shared" ca="1" si="21"/>
        <v>0</v>
      </c>
      <c r="Y68" s="105"/>
      <c r="Z68" s="109">
        <f t="shared" si="15"/>
        <v>0</v>
      </c>
      <c r="AA68" s="105"/>
      <c r="AB68" s="109">
        <f t="shared" si="16"/>
        <v>0</v>
      </c>
    </row>
    <row r="69" spans="1:28">
      <c r="A69" s="64"/>
      <c r="B69" s="108">
        <f t="shared" si="17"/>
        <v>2055</v>
      </c>
      <c r="C69" s="109">
        <f t="shared" si="22"/>
        <v>0</v>
      </c>
      <c r="D69" s="109">
        <f t="shared" si="22"/>
        <v>0</v>
      </c>
      <c r="E69" s="109">
        <f t="shared" si="18"/>
        <v>0</v>
      </c>
      <c r="F69" s="109">
        <f t="shared" si="23"/>
        <v>0</v>
      </c>
      <c r="G69" s="109">
        <f t="shared" si="23"/>
        <v>0</v>
      </c>
      <c r="H69" s="109">
        <f t="shared" si="19"/>
        <v>0</v>
      </c>
      <c r="I69" s="109">
        <f t="shared" si="24"/>
        <v>0</v>
      </c>
      <c r="J69" s="109">
        <f t="shared" si="24"/>
        <v>0</v>
      </c>
      <c r="K69" s="109">
        <f t="shared" si="24"/>
        <v>0</v>
      </c>
      <c r="L69" s="109">
        <f t="shared" si="24"/>
        <v>0</v>
      </c>
      <c r="M69" s="109">
        <f t="shared" si="24"/>
        <v>0</v>
      </c>
      <c r="N69" s="109">
        <f t="shared" si="20"/>
        <v>0</v>
      </c>
      <c r="O69" s="105"/>
      <c r="P69" s="109">
        <f>E69*'Selected Economics'!$J43*'Sensitivity Ranges'!$F$46</f>
        <v>0</v>
      </c>
      <c r="Q69" s="109">
        <f>F69*'Selected Economics'!$J43*'Sensitivity Ranges'!$F$46</f>
        <v>0</v>
      </c>
      <c r="R69" s="109">
        <f>N69*'Selected Economics'!$J43*'Sensitivity Ranges'!$F$46</f>
        <v>0</v>
      </c>
      <c r="S69" s="109">
        <f t="shared" si="13"/>
        <v>0</v>
      </c>
      <c r="T69" s="105"/>
      <c r="U69" s="109">
        <f t="shared" si="9"/>
        <v>0</v>
      </c>
      <c r="V69" s="109">
        <f t="shared" ca="1" si="9"/>
        <v>0</v>
      </c>
      <c r="W69" s="109">
        <f t="shared" ca="1" si="9"/>
        <v>0</v>
      </c>
      <c r="X69" s="109">
        <f t="shared" ca="1" si="21"/>
        <v>0</v>
      </c>
      <c r="Y69" s="105"/>
      <c r="Z69" s="109">
        <f t="shared" si="15"/>
        <v>0</v>
      </c>
      <c r="AA69" s="105"/>
      <c r="AB69" s="109">
        <f t="shared" si="16"/>
        <v>0</v>
      </c>
    </row>
    <row r="70" spans="1:28">
      <c r="A70" s="64"/>
      <c r="B70" s="108">
        <f t="shared" si="17"/>
        <v>2056</v>
      </c>
      <c r="C70" s="109">
        <f t="shared" si="22"/>
        <v>0</v>
      </c>
      <c r="D70" s="109">
        <f t="shared" si="22"/>
        <v>0</v>
      </c>
      <c r="E70" s="109">
        <f t="shared" si="18"/>
        <v>0</v>
      </c>
      <c r="F70" s="109">
        <f t="shared" si="23"/>
        <v>0</v>
      </c>
      <c r="G70" s="109">
        <f t="shared" si="23"/>
        <v>0</v>
      </c>
      <c r="H70" s="109">
        <f t="shared" si="19"/>
        <v>0</v>
      </c>
      <c r="I70" s="109">
        <f t="shared" si="24"/>
        <v>0</v>
      </c>
      <c r="J70" s="109">
        <f t="shared" si="24"/>
        <v>0</v>
      </c>
      <c r="K70" s="109">
        <f t="shared" si="24"/>
        <v>0</v>
      </c>
      <c r="L70" s="109">
        <f t="shared" si="24"/>
        <v>0</v>
      </c>
      <c r="M70" s="109">
        <f t="shared" si="24"/>
        <v>0</v>
      </c>
      <c r="N70" s="109">
        <f t="shared" si="20"/>
        <v>0</v>
      </c>
      <c r="O70" s="105"/>
      <c r="P70" s="109">
        <f>E70*'Selected Economics'!$J44*'Sensitivity Ranges'!$F$46</f>
        <v>0</v>
      </c>
      <c r="Q70" s="109">
        <f>F70*'Selected Economics'!$J44*'Sensitivity Ranges'!$F$46</f>
        <v>0</v>
      </c>
      <c r="R70" s="109">
        <f>N70*'Selected Economics'!$J44*'Sensitivity Ranges'!$F$46</f>
        <v>0</v>
      </c>
      <c r="S70" s="109">
        <f t="shared" si="13"/>
        <v>0</v>
      </c>
      <c r="T70" s="105"/>
      <c r="U70" s="109">
        <f t="shared" si="9"/>
        <v>0</v>
      </c>
      <c r="V70" s="109">
        <f t="shared" ca="1" si="9"/>
        <v>0</v>
      </c>
      <c r="W70" s="109">
        <f t="shared" ca="1" si="9"/>
        <v>0</v>
      </c>
      <c r="X70" s="109">
        <f t="shared" ca="1" si="21"/>
        <v>0</v>
      </c>
      <c r="Y70" s="105"/>
      <c r="Z70" s="109">
        <f t="shared" si="15"/>
        <v>0</v>
      </c>
      <c r="AA70" s="105"/>
      <c r="AB70" s="109">
        <f t="shared" si="16"/>
        <v>0</v>
      </c>
    </row>
    <row r="71" spans="1:28">
      <c r="A71" s="64"/>
      <c r="B71" s="108">
        <f t="shared" si="17"/>
        <v>2057</v>
      </c>
      <c r="C71" s="109">
        <f t="shared" si="22"/>
        <v>0</v>
      </c>
      <c r="D71" s="109">
        <f t="shared" si="22"/>
        <v>0</v>
      </c>
      <c r="E71" s="109">
        <f t="shared" si="18"/>
        <v>0</v>
      </c>
      <c r="F71" s="109">
        <f t="shared" si="23"/>
        <v>0</v>
      </c>
      <c r="G71" s="109">
        <f t="shared" si="23"/>
        <v>0</v>
      </c>
      <c r="H71" s="109">
        <f t="shared" si="19"/>
        <v>0</v>
      </c>
      <c r="I71" s="109">
        <f t="shared" si="24"/>
        <v>0</v>
      </c>
      <c r="J71" s="109">
        <f t="shared" si="24"/>
        <v>0</v>
      </c>
      <c r="K71" s="109">
        <f t="shared" si="24"/>
        <v>0</v>
      </c>
      <c r="L71" s="109">
        <f t="shared" si="24"/>
        <v>0</v>
      </c>
      <c r="M71" s="109">
        <f t="shared" si="24"/>
        <v>0</v>
      </c>
      <c r="N71" s="109">
        <f t="shared" si="20"/>
        <v>0</v>
      </c>
      <c r="O71" s="105"/>
      <c r="P71" s="109">
        <f>E71*'Selected Economics'!$J45*'Sensitivity Ranges'!$F$46</f>
        <v>0</v>
      </c>
      <c r="Q71" s="109">
        <f>F71*'Selected Economics'!$J45*'Sensitivity Ranges'!$F$46</f>
        <v>0</v>
      </c>
      <c r="R71" s="109">
        <f>N71*'Selected Economics'!$J45*'Sensitivity Ranges'!$F$46</f>
        <v>0</v>
      </c>
      <c r="S71" s="109">
        <f t="shared" si="13"/>
        <v>0</v>
      </c>
      <c r="T71" s="105"/>
      <c r="U71" s="109">
        <f t="shared" si="9"/>
        <v>0</v>
      </c>
      <c r="V71" s="109">
        <f t="shared" ca="1" si="9"/>
        <v>0</v>
      </c>
      <c r="W71" s="109">
        <f t="shared" ca="1" si="9"/>
        <v>0</v>
      </c>
      <c r="X71" s="109">
        <f t="shared" ca="1" si="21"/>
        <v>0</v>
      </c>
      <c r="Y71" s="105"/>
      <c r="Z71" s="109">
        <f t="shared" si="15"/>
        <v>0</v>
      </c>
      <c r="AA71" s="105"/>
      <c r="AB71" s="109">
        <f t="shared" si="16"/>
        <v>0</v>
      </c>
    </row>
    <row r="72" spans="1:28">
      <c r="A72" s="64"/>
      <c r="B72" s="108">
        <f t="shared" si="17"/>
        <v>2058</v>
      </c>
      <c r="C72" s="109">
        <f t="shared" ref="C72:D76" si="25">IF($B72=INDEX($O$21:$O$29,C$32,1),INDEX($R$21:$R$29,C$32,1),IF($B72=INDEX($P$21:$P$29,C$32,1),INDEX($S$21:$S$29,C$32,1),0))</f>
        <v>0</v>
      </c>
      <c r="D72" s="109">
        <f t="shared" si="25"/>
        <v>0</v>
      </c>
      <c r="E72" s="109">
        <f t="shared" si="18"/>
        <v>0</v>
      </c>
      <c r="F72" s="109">
        <f t="shared" ref="F72:G76" si="26">IF($B72=INDEX($O$21:$O$29,F$32,1),INDEX($R$21:$R$29,F$32,1),IF($B72=INDEX($P$21:$P$29,F$32,1),INDEX($S$21:$S$29,F$32,1),0))</f>
        <v>0</v>
      </c>
      <c r="G72" s="109">
        <f t="shared" si="26"/>
        <v>0</v>
      </c>
      <c r="H72" s="109">
        <f t="shared" si="19"/>
        <v>0</v>
      </c>
      <c r="I72" s="109">
        <f t="shared" ref="I72:M76" si="27">IF($B72=INDEX($O$21:$O$29,I$32,1),INDEX($R$21:$R$29,I$32,1),IF($B72=INDEX($P$21:$P$29,I$32,1),INDEX($S$21:$S$29,I$32,1),0))</f>
        <v>0</v>
      </c>
      <c r="J72" s="109">
        <f t="shared" si="27"/>
        <v>0</v>
      </c>
      <c r="K72" s="109">
        <f t="shared" si="27"/>
        <v>0</v>
      </c>
      <c r="L72" s="109">
        <f t="shared" si="27"/>
        <v>0</v>
      </c>
      <c r="M72" s="109">
        <f t="shared" si="27"/>
        <v>0</v>
      </c>
      <c r="N72" s="109">
        <f t="shared" si="20"/>
        <v>0</v>
      </c>
      <c r="O72" s="105"/>
      <c r="P72" s="109">
        <f>E72*'Selected Economics'!$J46*'Sensitivity Ranges'!$F$46</f>
        <v>0</v>
      </c>
      <c r="Q72" s="109">
        <f>F72*'Selected Economics'!$J46*'Sensitivity Ranges'!$F$46</f>
        <v>0</v>
      </c>
      <c r="R72" s="109">
        <f>N72*'Selected Economics'!$J46*'Sensitivity Ranges'!$F$46</f>
        <v>0</v>
      </c>
      <c r="S72" s="109">
        <f t="shared" si="13"/>
        <v>0</v>
      </c>
      <c r="T72" s="105"/>
      <c r="U72" s="109">
        <f t="shared" si="9"/>
        <v>0</v>
      </c>
      <c r="V72" s="109">
        <f t="shared" ca="1" si="9"/>
        <v>0</v>
      </c>
      <c r="W72" s="109">
        <f t="shared" ca="1" si="9"/>
        <v>0</v>
      </c>
      <c r="X72" s="109">
        <f t="shared" ca="1" si="21"/>
        <v>0</v>
      </c>
      <c r="Y72" s="105"/>
      <c r="Z72" s="109">
        <f t="shared" si="15"/>
        <v>0</v>
      </c>
      <c r="AA72" s="105"/>
      <c r="AB72" s="109">
        <f t="shared" si="16"/>
        <v>0</v>
      </c>
    </row>
    <row r="73" spans="1:28">
      <c r="A73" s="64"/>
      <c r="B73" s="108">
        <f t="shared" si="17"/>
        <v>2059</v>
      </c>
      <c r="C73" s="109">
        <f t="shared" si="25"/>
        <v>0</v>
      </c>
      <c r="D73" s="109">
        <f t="shared" si="25"/>
        <v>0</v>
      </c>
      <c r="E73" s="109">
        <f t="shared" si="18"/>
        <v>0</v>
      </c>
      <c r="F73" s="109">
        <f t="shared" si="26"/>
        <v>0</v>
      </c>
      <c r="G73" s="109">
        <f t="shared" si="26"/>
        <v>0</v>
      </c>
      <c r="H73" s="109">
        <f t="shared" si="19"/>
        <v>0</v>
      </c>
      <c r="I73" s="109">
        <f t="shared" si="27"/>
        <v>0</v>
      </c>
      <c r="J73" s="109">
        <f t="shared" si="27"/>
        <v>0</v>
      </c>
      <c r="K73" s="109">
        <f t="shared" si="27"/>
        <v>0</v>
      </c>
      <c r="L73" s="109">
        <f t="shared" si="27"/>
        <v>0</v>
      </c>
      <c r="M73" s="109">
        <f t="shared" si="27"/>
        <v>0</v>
      </c>
      <c r="N73" s="109">
        <f t="shared" si="20"/>
        <v>0</v>
      </c>
      <c r="O73" s="105"/>
      <c r="P73" s="109">
        <f>E73*'Selected Economics'!$J47*'Sensitivity Ranges'!$F$46</f>
        <v>0</v>
      </c>
      <c r="Q73" s="109">
        <f>F73*'Selected Economics'!$J47*'Sensitivity Ranges'!$F$46</f>
        <v>0</v>
      </c>
      <c r="R73" s="109">
        <f>N73*'Selected Economics'!$J47*'Sensitivity Ranges'!$F$46</f>
        <v>0</v>
      </c>
      <c r="S73" s="109">
        <f t="shared" si="13"/>
        <v>0</v>
      </c>
      <c r="T73" s="105"/>
      <c r="U73" s="109">
        <f t="shared" si="9"/>
        <v>0</v>
      </c>
      <c r="V73" s="109">
        <f t="shared" ca="1" si="9"/>
        <v>0</v>
      </c>
      <c r="W73" s="109">
        <f t="shared" ca="1" si="9"/>
        <v>0</v>
      </c>
      <c r="X73" s="109">
        <f t="shared" ca="1" si="21"/>
        <v>0</v>
      </c>
      <c r="Y73" s="105"/>
      <c r="Z73" s="109">
        <f t="shared" si="15"/>
        <v>0</v>
      </c>
      <c r="AA73" s="105"/>
      <c r="AB73" s="109">
        <f t="shared" si="16"/>
        <v>0</v>
      </c>
    </row>
    <row r="74" spans="1:28">
      <c r="A74" s="64"/>
      <c r="B74" s="108">
        <f t="shared" si="17"/>
        <v>2060</v>
      </c>
      <c r="C74" s="109">
        <f t="shared" si="25"/>
        <v>0</v>
      </c>
      <c r="D74" s="109">
        <f t="shared" si="25"/>
        <v>0</v>
      </c>
      <c r="E74" s="109">
        <f t="shared" si="18"/>
        <v>0</v>
      </c>
      <c r="F74" s="109">
        <f t="shared" si="26"/>
        <v>0</v>
      </c>
      <c r="G74" s="109">
        <f t="shared" si="26"/>
        <v>0</v>
      </c>
      <c r="H74" s="109">
        <f t="shared" si="19"/>
        <v>0</v>
      </c>
      <c r="I74" s="109">
        <f t="shared" si="27"/>
        <v>0</v>
      </c>
      <c r="J74" s="109">
        <f t="shared" si="27"/>
        <v>0</v>
      </c>
      <c r="K74" s="109">
        <f t="shared" si="27"/>
        <v>0</v>
      </c>
      <c r="L74" s="109">
        <f t="shared" si="27"/>
        <v>0</v>
      </c>
      <c r="M74" s="109">
        <f t="shared" si="27"/>
        <v>0</v>
      </c>
      <c r="N74" s="109">
        <f t="shared" si="20"/>
        <v>0</v>
      </c>
      <c r="O74" s="105"/>
      <c r="P74" s="109">
        <f>E74*'Selected Economics'!$J48*'Sensitivity Ranges'!$F$46</f>
        <v>0</v>
      </c>
      <c r="Q74" s="109">
        <f>F74*'Selected Economics'!$J48*'Sensitivity Ranges'!$F$46</f>
        <v>0</v>
      </c>
      <c r="R74" s="109">
        <f>N74*'Selected Economics'!$J48*'Sensitivity Ranges'!$F$46</f>
        <v>0</v>
      </c>
      <c r="S74" s="109">
        <f t="shared" si="13"/>
        <v>0</v>
      </c>
      <c r="T74" s="105"/>
      <c r="U74" s="109">
        <f t="shared" si="9"/>
        <v>0</v>
      </c>
      <c r="V74" s="109">
        <f t="shared" ca="1" si="9"/>
        <v>0</v>
      </c>
      <c r="W74" s="109">
        <f t="shared" ca="1" si="9"/>
        <v>0</v>
      </c>
      <c r="X74" s="109">
        <f t="shared" ca="1" si="21"/>
        <v>0</v>
      </c>
      <c r="Y74" s="105"/>
      <c r="Z74" s="109">
        <f t="shared" si="15"/>
        <v>0</v>
      </c>
      <c r="AA74" s="105"/>
      <c r="AB74" s="109">
        <f t="shared" si="16"/>
        <v>0</v>
      </c>
    </row>
    <row r="75" spans="1:28">
      <c r="A75" s="64"/>
      <c r="B75" s="108">
        <f t="shared" si="17"/>
        <v>2061</v>
      </c>
      <c r="C75" s="109">
        <f t="shared" si="25"/>
        <v>0</v>
      </c>
      <c r="D75" s="109">
        <f t="shared" si="25"/>
        <v>0</v>
      </c>
      <c r="E75" s="109">
        <f t="shared" si="18"/>
        <v>0</v>
      </c>
      <c r="F75" s="109">
        <f t="shared" si="26"/>
        <v>0</v>
      </c>
      <c r="G75" s="109">
        <f t="shared" si="26"/>
        <v>0</v>
      </c>
      <c r="H75" s="109">
        <f t="shared" si="19"/>
        <v>0</v>
      </c>
      <c r="I75" s="109">
        <f t="shared" si="27"/>
        <v>0</v>
      </c>
      <c r="J75" s="109">
        <f t="shared" si="27"/>
        <v>0</v>
      </c>
      <c r="K75" s="109">
        <f t="shared" si="27"/>
        <v>0</v>
      </c>
      <c r="L75" s="109">
        <f t="shared" si="27"/>
        <v>0</v>
      </c>
      <c r="M75" s="109">
        <f t="shared" si="27"/>
        <v>0</v>
      </c>
      <c r="N75" s="109">
        <f t="shared" si="20"/>
        <v>0</v>
      </c>
      <c r="O75" s="105"/>
      <c r="P75" s="109">
        <f>E75*'Selected Economics'!$J49*'Sensitivity Ranges'!$F$46</f>
        <v>0</v>
      </c>
      <c r="Q75" s="109">
        <f>F75*'Selected Economics'!$J49*'Sensitivity Ranges'!$F$46</f>
        <v>0</v>
      </c>
      <c r="R75" s="109">
        <f>N75*'Selected Economics'!$J49*'Sensitivity Ranges'!$F$46</f>
        <v>0</v>
      </c>
      <c r="S75" s="109">
        <f t="shared" si="13"/>
        <v>0</v>
      </c>
      <c r="T75" s="105"/>
      <c r="U75" s="109">
        <f t="shared" si="9"/>
        <v>0</v>
      </c>
      <c r="V75" s="109">
        <f t="shared" ca="1" si="9"/>
        <v>0</v>
      </c>
      <c r="W75" s="109">
        <f t="shared" ca="1" si="9"/>
        <v>0</v>
      </c>
      <c r="X75" s="109">
        <f t="shared" ca="1" si="21"/>
        <v>0</v>
      </c>
      <c r="Y75" s="105"/>
      <c r="Z75" s="109">
        <f t="shared" si="15"/>
        <v>0</v>
      </c>
      <c r="AA75" s="105"/>
      <c r="AB75" s="109">
        <f t="shared" si="16"/>
        <v>0</v>
      </c>
    </row>
    <row r="76" spans="1:28">
      <c r="A76" s="64"/>
      <c r="B76" s="110">
        <f t="shared" si="17"/>
        <v>2062</v>
      </c>
      <c r="C76" s="111">
        <f t="shared" si="25"/>
        <v>0</v>
      </c>
      <c r="D76" s="111">
        <f t="shared" si="25"/>
        <v>0</v>
      </c>
      <c r="E76" s="111">
        <f t="shared" si="18"/>
        <v>0</v>
      </c>
      <c r="F76" s="111">
        <f t="shared" si="26"/>
        <v>0</v>
      </c>
      <c r="G76" s="111">
        <f t="shared" si="26"/>
        <v>0</v>
      </c>
      <c r="H76" s="111">
        <f t="shared" si="19"/>
        <v>0</v>
      </c>
      <c r="I76" s="111">
        <f t="shared" si="27"/>
        <v>0</v>
      </c>
      <c r="J76" s="111">
        <f t="shared" si="27"/>
        <v>0</v>
      </c>
      <c r="K76" s="111">
        <f t="shared" si="27"/>
        <v>0</v>
      </c>
      <c r="L76" s="111">
        <f t="shared" si="27"/>
        <v>0</v>
      </c>
      <c r="M76" s="111">
        <f t="shared" si="27"/>
        <v>0</v>
      </c>
      <c r="N76" s="111">
        <f t="shared" si="20"/>
        <v>0</v>
      </c>
      <c r="O76" s="105"/>
      <c r="P76" s="111">
        <f>E76*'Selected Economics'!$J50*'Sensitivity Ranges'!$F$46</f>
        <v>0</v>
      </c>
      <c r="Q76" s="111">
        <f>F76*'Selected Economics'!$J50*'Sensitivity Ranges'!$F$46</f>
        <v>0</v>
      </c>
      <c r="R76" s="111">
        <f>N76*'Selected Economics'!$J50*'Sensitivity Ranges'!$F$46</f>
        <v>0</v>
      </c>
      <c r="S76" s="111">
        <f t="shared" si="13"/>
        <v>0</v>
      </c>
      <c r="T76" s="105"/>
      <c r="U76" s="111">
        <f t="shared" si="9"/>
        <v>0</v>
      </c>
      <c r="V76" s="111">
        <f t="shared" ca="1" si="9"/>
        <v>0</v>
      </c>
      <c r="W76" s="111">
        <f t="shared" ca="1" si="9"/>
        <v>0</v>
      </c>
      <c r="X76" s="111">
        <f t="shared" ca="1" si="21"/>
        <v>0</v>
      </c>
      <c r="Y76" s="105"/>
      <c r="Z76" s="111">
        <f t="shared" si="15"/>
        <v>0</v>
      </c>
      <c r="AA76" s="105"/>
      <c r="AB76" s="111">
        <f t="shared" si="16"/>
        <v>0</v>
      </c>
    </row>
  </sheetData>
  <sheetProtection algorithmName="SHA-512" hashValue="k30Fua2hd8APED2vMPPJZ/D4CtK4j2Yzi4e3kxPcuSkbbSMzTqA28ayX0vG6il7a63llNlgq5vmjce7IiLYNhA==" saltValue="n9kqBzUHhX8rqoluJIOk0A==" spinCount="100000" sheet="1" objects="1" scenarios="1"/>
  <mergeCells count="2">
    <mergeCell ref="X21:AB28"/>
    <mergeCell ref="AB34:AB35"/>
  </mergeCells>
  <conditionalFormatting sqref="H21:L22">
    <cfRule type="expression" dxfId="4" priority="1">
      <formula>$C$12=1</formula>
    </cfRule>
  </conditionalFormatting>
  <conditionalFormatting sqref="H23:L24">
    <cfRule type="expression" dxfId="3" priority="3">
      <formula>$C$13=1</formula>
    </cfRule>
  </conditionalFormatting>
  <conditionalFormatting sqref="H25:L29">
    <cfRule type="expression" dxfId="2" priority="2">
      <formula>$C$14=1</formula>
    </cfRule>
  </conditionalFormatting>
  <dataValidations count="1">
    <dataValidation type="whole" allowBlank="1" showInputMessage="1" showErrorMessage="1" sqref="C11" xr:uid="{00000000-0002-0000-1200-000000000000}">
      <formula1>0</formula1>
      <formula2>10</formula2>
    </dataValidation>
  </dataValidations>
  <hyperlinks>
    <hyperlink ref="H1" location="Guide" display="Guide" xr:uid="{00000000-0004-0000-1200-000000000000}"/>
    <hyperlink ref="H2" location="Input" display="Input" xr:uid="{00000000-0004-0000-1200-000001000000}"/>
  </hyperlinks>
  <pageMargins left="0.7" right="0.7" top="0.75" bottom="0.75" header="0.3" footer="0.3"/>
  <pageSetup paperSize="9" scale="44" fitToHeight="0" orientation="landscape" r:id="rId1"/>
  <headerFooter>
    <oddFooter>&amp;LNova Scotia Exploration Economics Model&amp;Rwww.indeva.com</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tabColor theme="3" tint="0.79998168889431442"/>
  </sheetPr>
  <dimension ref="A1:CE131"/>
  <sheetViews>
    <sheetView showGridLines="0" showRowColHeaders="0" showZeros="0" zoomScale="75" zoomScaleNormal="75" workbookViewId="0">
      <pane xSplit="1" ySplit="2" topLeftCell="B3" activePane="bottomRight" state="frozen"/>
      <selection activeCell="D42" sqref="D42"/>
      <selection pane="topRight" activeCell="D42" sqref="D42"/>
      <selection pane="bottomLeft" activeCell="D42" sqref="D42"/>
      <selection pane="bottomRight" activeCell="B3" sqref="B3"/>
    </sheetView>
  </sheetViews>
  <sheetFormatPr defaultRowHeight="15"/>
  <cols>
    <col min="1" max="1" width="36" customWidth="1"/>
    <col min="2" max="2" width="12.7109375" customWidth="1"/>
    <col min="3" max="3" width="12.28515625" customWidth="1"/>
    <col min="4" max="4" width="12.85546875" customWidth="1"/>
    <col min="5" max="5" width="13.42578125" customWidth="1"/>
    <col min="6" max="6" width="11.28515625" customWidth="1"/>
    <col min="7" max="8" width="12.140625" customWidth="1"/>
    <col min="9" max="9" width="12.28515625" bestFit="1" customWidth="1"/>
    <col min="10" max="10" width="11.5703125" customWidth="1"/>
    <col min="11" max="11" width="10.5703125" customWidth="1"/>
    <col min="12" max="12" width="12.140625" customWidth="1"/>
    <col min="13" max="13" width="11.42578125" customWidth="1"/>
    <col min="14" max="14" width="12" customWidth="1"/>
    <col min="15" max="15" width="12.140625" customWidth="1"/>
    <col min="16" max="16" width="11" customWidth="1"/>
    <col min="17" max="17" width="11.85546875" customWidth="1"/>
    <col min="18" max="19" width="10.7109375" customWidth="1"/>
    <col min="20" max="20" width="12.28515625" customWidth="1"/>
    <col min="21" max="21" width="12.5703125" customWidth="1"/>
    <col min="22" max="22" width="12.28515625" customWidth="1"/>
    <col min="23" max="23" width="12" customWidth="1"/>
    <col min="24" max="24" width="13.28515625" customWidth="1"/>
    <col min="25" max="25" width="13.42578125" bestFit="1" customWidth="1"/>
    <col min="26" max="26" width="12.7109375" bestFit="1" customWidth="1"/>
    <col min="27" max="27" width="11" bestFit="1" customWidth="1"/>
    <col min="28" max="28" width="13.28515625" bestFit="1" customWidth="1"/>
    <col min="29" max="29" width="11.85546875" customWidth="1"/>
    <col min="30" max="30" width="11" customWidth="1"/>
    <col min="31" max="31" width="12.140625" customWidth="1"/>
    <col min="32" max="33" width="11.85546875" customWidth="1"/>
    <col min="34" max="34" width="12.5703125" customWidth="1"/>
    <col min="35" max="36" width="13.140625" customWidth="1"/>
    <col min="37" max="42" width="11.7109375" customWidth="1"/>
    <col min="43" max="43" width="12.42578125" customWidth="1"/>
    <col min="44" max="45" width="13.5703125" customWidth="1"/>
    <col min="46" max="47" width="12.7109375" customWidth="1"/>
    <col min="48" max="48" width="10.85546875" customWidth="1"/>
    <col min="49" max="49" width="9.85546875" customWidth="1"/>
    <col min="50" max="50" width="10.42578125" customWidth="1"/>
    <col min="51" max="53" width="9.28515625" bestFit="1" customWidth="1"/>
    <col min="54" max="54" width="11.7109375" customWidth="1"/>
    <col min="55" max="55" width="12.5703125" customWidth="1"/>
    <col min="56" max="57" width="13.140625" customWidth="1"/>
    <col min="58" max="59" width="12.42578125" customWidth="1"/>
    <col min="60" max="60" width="10.7109375" customWidth="1"/>
    <col min="61" max="61" width="10.42578125" bestFit="1" customWidth="1"/>
    <col min="62" max="62" width="10.140625" customWidth="1"/>
    <col min="63" max="63" width="10.42578125" bestFit="1" customWidth="1"/>
    <col min="65" max="65" width="9.85546875" customWidth="1"/>
    <col min="66" max="66" width="12" customWidth="1"/>
    <col min="67" max="67" width="13.5703125" customWidth="1"/>
    <col min="68" max="68" width="10.42578125" customWidth="1"/>
    <col min="69" max="69" width="10.42578125" bestFit="1" customWidth="1"/>
    <col min="70" max="70" width="10.28515625" customWidth="1"/>
    <col min="71" max="73" width="9.28515625" bestFit="1" customWidth="1"/>
    <col min="74" max="74" width="10.28515625" customWidth="1"/>
    <col min="75" max="75" width="9.28515625" bestFit="1" customWidth="1"/>
    <col min="76" max="77" width="11.42578125" customWidth="1"/>
    <col min="78" max="79" width="13" customWidth="1"/>
    <col min="80" max="80" width="10.42578125" bestFit="1" customWidth="1"/>
  </cols>
  <sheetData>
    <row r="1" spans="1:82" ht="18.75">
      <c r="A1" s="92" t="str">
        <f>Input!B10</f>
        <v>Prospect X</v>
      </c>
      <c r="B1" s="92" t="s">
        <v>216</v>
      </c>
      <c r="C1" s="92"/>
      <c r="D1" s="112"/>
      <c r="E1" s="64"/>
      <c r="F1" s="64"/>
      <c r="G1" s="93" t="s">
        <v>756</v>
      </c>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c r="CD1" s="64"/>
    </row>
    <row r="2" spans="1:82" ht="18.75">
      <c r="A2" s="64"/>
      <c r="B2" s="64"/>
      <c r="C2" s="64"/>
      <c r="D2" s="64"/>
      <c r="E2" s="64"/>
      <c r="F2" s="64"/>
      <c r="G2" s="93" t="s">
        <v>139</v>
      </c>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row>
    <row r="3" spans="1:82">
      <c r="A3" s="64"/>
      <c r="B3" s="84" t="s">
        <v>79</v>
      </c>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c r="CD3" s="64"/>
    </row>
    <row r="4" spans="1:82">
      <c r="A4" s="64" t="s">
        <v>217</v>
      </c>
      <c r="B4" s="84">
        <f>IF('Devel Overrides'!C11=Lists!A38,1,0)</f>
        <v>0</v>
      </c>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c r="CD4" s="64"/>
    </row>
    <row r="5" spans="1:82">
      <c r="A5" s="85" t="s">
        <v>218</v>
      </c>
      <c r="B5" s="98">
        <f>IF(B4=1,'Devel Overrides'!E11,ROUNDDOWN(IF(Thresholds!E1=Lists!A12,Input!B12,Exploration!J29+'Cost Assumptions'!O21),0))</f>
        <v>46479</v>
      </c>
      <c r="C5" s="104" t="s">
        <v>14</v>
      </c>
      <c r="D5" s="104" t="s">
        <v>219</v>
      </c>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c r="CD5" s="64"/>
    </row>
    <row r="6" spans="1:82">
      <c r="A6" s="85" t="s">
        <v>220</v>
      </c>
      <c r="B6" s="98">
        <f>IF(B4=1,'Devel Overrides'!F11+Development!B5,MIN(ROUNDDOWN(B5+'Cost Assumptions'!O22,0),ROUNDDOWN(B5+'Cost Assumptions'!O22,0)))</f>
        <v>46797</v>
      </c>
      <c r="C6" s="85">
        <f>YEAR(B7)</f>
        <v>2028</v>
      </c>
      <c r="D6" s="85">
        <f>MONTH(B7)</f>
        <v>8</v>
      </c>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c r="BR6" s="64"/>
      <c r="BS6" s="64"/>
      <c r="BT6" s="64"/>
      <c r="BU6" s="64"/>
      <c r="BV6" s="64"/>
      <c r="BW6" s="64"/>
      <c r="BX6" s="64"/>
      <c r="BY6" s="64"/>
      <c r="BZ6" s="64"/>
      <c r="CA6" s="64"/>
      <c r="CB6" s="64"/>
      <c r="CC6" s="64"/>
      <c r="CD6" s="64"/>
    </row>
    <row r="7" spans="1:82">
      <c r="A7" s="85" t="s">
        <v>221</v>
      </c>
      <c r="B7" s="98">
        <f>IF(B4=1,MIN(B5+'Devel Overrides'!E12,ROUNDDOWN(IF(Thresholds!E1=Lists!A13,Input!B12,Development!B6+'Cost Assumptions'!O23),0)),ROUNDDOWN(IF(Thresholds!E1=Lists!A13,Input!B12,Development!B6+'Cost Assumptions'!O23),0))</f>
        <v>46987</v>
      </c>
      <c r="C7" s="64"/>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c r="BR7" s="64"/>
      <c r="BS7" s="64"/>
      <c r="BT7" s="64"/>
      <c r="BU7" s="64"/>
      <c r="BV7" s="64"/>
      <c r="BW7" s="64"/>
      <c r="BX7" s="64"/>
      <c r="BY7" s="64"/>
      <c r="BZ7" s="64"/>
      <c r="CA7" s="64"/>
      <c r="CB7" s="64"/>
      <c r="CC7" s="64"/>
      <c r="CD7" s="64"/>
    </row>
    <row r="8" spans="1:82">
      <c r="A8" s="85" t="s">
        <v>222</v>
      </c>
      <c r="B8" s="98">
        <f>IF(AND(B4=1,NOT(Thresholds!E1=Lists!A13)),'Devel Overrides'!E17,ROUNDDOWN(IF(Thresholds!E1=Lists!A13,Input!B12,B7+'Cost Assumptions'!O23),0))</f>
        <v>47177</v>
      </c>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c r="CD8" s="64"/>
    </row>
    <row r="9" spans="1:82">
      <c r="A9" s="64"/>
      <c r="B9" s="113"/>
      <c r="C9" s="64"/>
      <c r="D9" s="104" t="s">
        <v>223</v>
      </c>
      <c r="E9" s="104" t="s">
        <v>224</v>
      </c>
      <c r="F9" s="104" t="s">
        <v>223</v>
      </c>
      <c r="G9" s="104" t="s">
        <v>224</v>
      </c>
      <c r="H9" s="64"/>
      <c r="I9" s="64"/>
      <c r="J9" s="64"/>
      <c r="K9" s="64"/>
      <c r="L9" s="64"/>
      <c r="M9" s="64"/>
      <c r="N9" s="64"/>
      <c r="O9" s="64"/>
      <c r="P9" s="64"/>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row>
    <row r="10" spans="1:82">
      <c r="A10" s="85" t="s">
        <v>152</v>
      </c>
      <c r="B10" s="101">
        <f>IF(B4=1,'Devel Overrides'!H11,'Cost Assumptions'!O50+'Cost Assumptions'!O51*Thresholds!E2)</f>
        <v>14816.231999999996</v>
      </c>
      <c r="C10" s="87" t="s">
        <v>2</v>
      </c>
      <c r="D10" s="85">
        <f>YEAR(B5)</f>
        <v>2027</v>
      </c>
      <c r="E10" s="85">
        <f>YEAR(B6)</f>
        <v>2028</v>
      </c>
      <c r="F10" s="91">
        <f>IF(E10=D10,B10,(DATE(D10,12,31)-B5)/(B6-B5)*B10)</f>
        <v>12719.595396226412</v>
      </c>
      <c r="G10" s="91">
        <f>B10-F10</f>
        <v>2096.6366037735843</v>
      </c>
      <c r="H10" s="64"/>
      <c r="I10" s="11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row>
    <row r="11" spans="1:82">
      <c r="A11" s="64"/>
      <c r="B11" s="115"/>
      <c r="C11" s="64"/>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row>
    <row r="12" spans="1:82">
      <c r="A12" s="84" t="s">
        <v>225</v>
      </c>
      <c r="B12" s="115" t="s">
        <v>658</v>
      </c>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row>
    <row r="13" spans="1:82">
      <c r="A13" s="84"/>
      <c r="B13" s="64"/>
      <c r="C13" s="656" t="s">
        <v>226</v>
      </c>
      <c r="D13" s="656"/>
      <c r="E13" s="656" t="s">
        <v>227</v>
      </c>
      <c r="F13" s="656"/>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c r="BR13" s="64"/>
      <c r="BS13" s="64"/>
      <c r="BT13" s="64"/>
      <c r="BU13" s="64"/>
      <c r="BV13" s="64"/>
      <c r="BW13" s="64"/>
      <c r="BX13" s="64"/>
      <c r="BY13" s="64"/>
      <c r="BZ13" s="64"/>
      <c r="CA13" s="64"/>
      <c r="CB13" s="64"/>
      <c r="CC13" s="64"/>
      <c r="CD13" s="64"/>
    </row>
    <row r="14" spans="1:82">
      <c r="A14" s="84"/>
      <c r="B14" s="64"/>
      <c r="C14" s="89" t="s">
        <v>153</v>
      </c>
      <c r="D14" s="89" t="s">
        <v>228</v>
      </c>
      <c r="E14" s="89" t="s">
        <v>153</v>
      </c>
      <c r="F14" s="89" t="s">
        <v>228</v>
      </c>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c r="BR14" s="64"/>
      <c r="BS14" s="64"/>
      <c r="BT14" s="64"/>
      <c r="BU14" s="64"/>
      <c r="BV14" s="64"/>
      <c r="BW14" s="64"/>
      <c r="BX14" s="64"/>
      <c r="BY14" s="64"/>
      <c r="BZ14" s="64"/>
      <c r="CA14" s="64"/>
      <c r="CB14" s="64"/>
      <c r="CC14" s="64"/>
      <c r="CD14" s="64"/>
    </row>
    <row r="15" spans="1:82">
      <c r="A15" s="85" t="s">
        <v>679</v>
      </c>
      <c r="B15" s="85">
        <f>ROUNDUP(Thresholds!E2/VLOOKUP(Thresholds!E2,IF(Input!B13="Gas",'Sched &amp; Prod Assumptions'!A28:B34,'Sched &amp; Prod Assumptions'!F28:G34),2)*INDEX('Sched &amp; Prod Assumptions'!B55:B57,MATCH(Input!B28,'Sched &amp; Prod Assumptions'!A55:A57,0),1),0)+IF(Input!B17=Lists!Q37,ROUNDUP(Development!M15/'Sched &amp; Prod Assumptions'!C83,0))</f>
        <v>21</v>
      </c>
      <c r="C15" s="85"/>
      <c r="D15" s="91"/>
      <c r="E15" s="85"/>
      <c r="F15" s="91"/>
      <c r="G15" s="64"/>
      <c r="H15" s="64"/>
      <c r="I15" s="64"/>
      <c r="J15" s="64"/>
      <c r="K15" s="64"/>
      <c r="L15" s="85" t="s">
        <v>843</v>
      </c>
      <c r="M15" s="85">
        <f>IF(Input!B13="Oil",Input!B14*Input!B32/1000,0)</f>
        <v>966.65700000000004</v>
      </c>
      <c r="N15" s="85" t="s">
        <v>315</v>
      </c>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c r="BR15" s="64"/>
      <c r="BS15" s="64"/>
      <c r="BT15" s="64"/>
      <c r="BU15" s="64"/>
      <c r="BV15" s="64"/>
      <c r="BW15" s="64"/>
      <c r="BX15" s="64"/>
      <c r="BY15" s="64"/>
      <c r="BZ15" s="64"/>
      <c r="CA15" s="64"/>
      <c r="CB15" s="64"/>
      <c r="CC15" s="64"/>
      <c r="CD15" s="64"/>
    </row>
    <row r="16" spans="1:82">
      <c r="A16" s="85" t="s">
        <v>229</v>
      </c>
      <c r="B16" s="85">
        <f>IF(Input!B34="Yes",MIN(Exploration!C11+1,B15)-1,0)</f>
        <v>3</v>
      </c>
      <c r="C16" s="85"/>
      <c r="D16" s="91"/>
      <c r="E16" s="85"/>
      <c r="F16" s="91"/>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c r="BR16" s="64"/>
      <c r="BS16" s="64"/>
      <c r="BT16" s="64"/>
      <c r="BU16" s="64"/>
      <c r="BV16" s="64"/>
      <c r="BW16" s="64"/>
      <c r="BX16" s="64"/>
      <c r="BY16" s="64"/>
      <c r="BZ16" s="64"/>
      <c r="CA16" s="64"/>
      <c r="CB16" s="64"/>
      <c r="CC16" s="64"/>
      <c r="CD16" s="64"/>
    </row>
    <row r="17" spans="1:82">
      <c r="A17" s="85" t="s">
        <v>230</v>
      </c>
      <c r="B17" s="85">
        <f>IF(Input!B16=Fixed_Platform,MIN(1,B16),0)</f>
        <v>0</v>
      </c>
      <c r="C17" s="101"/>
      <c r="D17" s="91"/>
      <c r="E17" s="101">
        <f>'Cost Assumptions'!O44+'Cost Assumptions'!O46+Development!B32/'Cost Assumptions'!O45</f>
        <v>11.333333333333332</v>
      </c>
      <c r="F17" s="91">
        <f>(E17*('Cost Assumptions'!$O$43+'Cost Assumptions'!$O$24)+'Cost Assumptions'!$O$42*Development!B$33)/1000+'Cost Assumptions'!$O$41</f>
        <v>13540.92053917808</v>
      </c>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c r="BR17" s="64"/>
      <c r="BS17" s="64"/>
      <c r="BT17" s="64"/>
      <c r="BU17" s="64"/>
      <c r="BV17" s="64"/>
      <c r="BW17" s="64"/>
      <c r="BX17" s="64"/>
      <c r="BY17" s="64"/>
      <c r="BZ17" s="64"/>
      <c r="CA17" s="64"/>
      <c r="CB17" s="64"/>
      <c r="CC17" s="64"/>
      <c r="CD17" s="64"/>
    </row>
    <row r="18" spans="1:82">
      <c r="A18" s="85" t="s">
        <v>231</v>
      </c>
      <c r="B18" s="85">
        <f>B16-B17</f>
        <v>3</v>
      </c>
      <c r="C18" s="101"/>
      <c r="D18" s="91"/>
      <c r="E18" s="101">
        <f>'Cost Assumptions'!O44+'Cost Assumptions'!O46+Development!B33/'Cost Assumptions'!O45</f>
        <v>10.333333333333334</v>
      </c>
      <c r="F18" s="91">
        <f>(E18*('Cost Assumptions'!$O$43+'Cost Assumptions'!$O$24)+'Cost Assumptions'!$O$42*Development!B$33)/1000+'Cost Assumptions'!$O$41</f>
        <v>12648.596962191777</v>
      </c>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c r="BR18" s="64"/>
      <c r="BS18" s="64"/>
      <c r="BT18" s="64"/>
      <c r="BU18" s="64"/>
      <c r="BV18" s="64"/>
      <c r="BW18" s="64"/>
      <c r="BX18" s="64"/>
      <c r="BY18" s="64"/>
      <c r="BZ18" s="64"/>
      <c r="CA18" s="64"/>
      <c r="CB18" s="64"/>
      <c r="CC18" s="64"/>
      <c r="CD18" s="64"/>
    </row>
    <row r="19" spans="1:82">
      <c r="A19" s="85" t="s">
        <v>680</v>
      </c>
      <c r="B19" s="85">
        <f>B15-B16</f>
        <v>18</v>
      </c>
      <c r="C19" s="85"/>
      <c r="D19" s="91"/>
      <c r="E19" s="85"/>
      <c r="F19" s="91"/>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row>
    <row r="20" spans="1:82">
      <c r="A20" s="85" t="s">
        <v>232</v>
      </c>
      <c r="B20" s="85">
        <f>IF(B27=1,C27-B21-B17,0)</f>
        <v>0</v>
      </c>
      <c r="C20" s="101">
        <f>'Cost Assumptions'!O37+Development!B32/'Cost Assumptions'!O38*Exploration!C15</f>
        <v>43</v>
      </c>
      <c r="D20" s="91">
        <f>(C20*('Cost Assumptions'!O36+'Cost Assumptions'!O24)+'Cost Assumptions'!O35*Development!B32)/1000+'Cost Assumptions'!O34</f>
        <v>66849.073170410964</v>
      </c>
      <c r="E20" s="101">
        <f>'Cost Assumptions'!O44+Development!B32/'Cost Assumptions'!O45</f>
        <v>7.333333333333333</v>
      </c>
      <c r="F20" s="91">
        <f>(E20*('Cost Assumptions'!$O$43+'Cost Assumptions'!$O$24)+'Cost Assumptions'!$O$42*Development!B$32)/1000+'Cost Assumptions'!$O$41</f>
        <v>10712.056951232875</v>
      </c>
      <c r="G20" s="64"/>
      <c r="H20" s="64"/>
      <c r="I20" s="64"/>
      <c r="J20" s="64"/>
      <c r="K20" s="64"/>
      <c r="L20" s="64"/>
      <c r="M20" s="64"/>
      <c r="N20" s="64"/>
      <c r="O20" s="64"/>
      <c r="P20" s="64"/>
      <c r="Q20" s="64"/>
      <c r="R20" s="64"/>
      <c r="S20" s="64"/>
      <c r="T20" s="64"/>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c r="BR20" s="64"/>
      <c r="BS20" s="64"/>
      <c r="BT20" s="64"/>
      <c r="BU20" s="64"/>
      <c r="BV20" s="64"/>
      <c r="BW20" s="64"/>
      <c r="BX20" s="64"/>
      <c r="BY20" s="64"/>
      <c r="BZ20" s="64"/>
      <c r="CA20" s="64"/>
      <c r="CB20" s="64"/>
      <c r="CC20" s="64"/>
      <c r="CD20" s="64"/>
    </row>
    <row r="21" spans="1:82">
      <c r="A21" s="85" t="s">
        <v>233</v>
      </c>
      <c r="B21" s="85">
        <f>IF(Input!B16=Fixed_Platform,MIN(C27-B17,ROUNDDOWN(I78/C21,0)),0)</f>
        <v>0</v>
      </c>
      <c r="C21" s="101">
        <f>'Cost Assumptions'!O37+Development!B32/'Cost Assumptions'!O38*Exploration!C15</f>
        <v>43</v>
      </c>
      <c r="D21" s="91">
        <f>(C21*('Cost Assumptions'!O36+'Cost Assumptions'!O24)+'Cost Assumptions'!O35*Development!B32)/1000+'Cost Assumptions'!O34</f>
        <v>66849.073170410964</v>
      </c>
      <c r="E21" s="101">
        <f>'Cost Assumptions'!O44+Development!B32/'Cost Assumptions'!O45+'Cost Assumptions'!O47</f>
        <v>9.3333333333333321</v>
      </c>
      <c r="F21" s="91">
        <f>(E21*('Cost Assumptions'!$O$43+'Cost Assumptions'!$O$24)+'Cost Assumptions'!$O$42*Development!B$32)/1000+'Cost Assumptions'!$O$41</f>
        <v>12496.704105205477</v>
      </c>
      <c r="G21" s="64"/>
      <c r="H21" s="64"/>
      <c r="I21" s="64"/>
      <c r="J21" s="64"/>
      <c r="K21" s="64"/>
      <c r="L21" s="64"/>
      <c r="M21" s="64"/>
      <c r="N21" s="64"/>
      <c r="O21" s="64"/>
      <c r="P21" s="64"/>
      <c r="Q21" s="64"/>
      <c r="R21" s="64"/>
      <c r="S21" s="64"/>
      <c r="T21" s="64"/>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c r="BR21" s="64"/>
      <c r="BS21" s="64"/>
      <c r="BT21" s="64"/>
      <c r="BU21" s="64"/>
      <c r="BV21" s="64"/>
      <c r="BW21" s="64"/>
      <c r="BX21" s="64"/>
      <c r="BY21" s="64"/>
      <c r="BZ21" s="64"/>
      <c r="CA21" s="64"/>
      <c r="CB21" s="64"/>
      <c r="CC21" s="64"/>
      <c r="CD21" s="64"/>
    </row>
    <row r="22" spans="1:82">
      <c r="A22" s="85" t="s">
        <v>234</v>
      </c>
      <c r="B22" s="85">
        <f>MAX(0,SUM(C28:G28)-B18)</f>
        <v>18</v>
      </c>
      <c r="C22" s="101">
        <f>IF(P25="Deviated",M24,M23)</f>
        <v>43</v>
      </c>
      <c r="D22" s="91">
        <f>IF(P25="Deviated",N24,N23)</f>
        <v>66849.073170410964</v>
      </c>
      <c r="E22" s="101">
        <f>'Cost Assumptions'!O44+IF(P25="Deviated",B32,B33)/'Cost Assumptions'!O45</f>
        <v>7.333333333333333</v>
      </c>
      <c r="F22" s="91">
        <f>(E22*('Cost Assumptions'!$O$43+'Cost Assumptions'!$O$24)+'Cost Assumptions'!$O$42*Development!B$33)/1000+'Cost Assumptions'!$O$41</f>
        <v>9971.6262312328745</v>
      </c>
      <c r="G22" s="64"/>
      <c r="H22" s="64"/>
      <c r="I22" s="64"/>
      <c r="J22" s="64"/>
      <c r="K22" s="64"/>
      <c r="L22" s="64"/>
      <c r="M22" s="85" t="s">
        <v>710</v>
      </c>
      <c r="N22" s="85" t="s">
        <v>711</v>
      </c>
      <c r="O22" s="85" t="s">
        <v>709</v>
      </c>
      <c r="P22" s="85" t="s">
        <v>13</v>
      </c>
      <c r="Q22" s="64"/>
      <c r="R22" s="64"/>
      <c r="S22" s="64"/>
      <c r="T22" s="64"/>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c r="BR22" s="64"/>
      <c r="BS22" s="64"/>
      <c r="BT22" s="64"/>
      <c r="BU22" s="64"/>
      <c r="BV22" s="64"/>
      <c r="BW22" s="64"/>
      <c r="BX22" s="64"/>
      <c r="BY22" s="64"/>
      <c r="BZ22" s="64"/>
      <c r="CA22" s="64"/>
      <c r="CB22" s="64"/>
      <c r="CC22" s="64"/>
      <c r="CD22" s="64"/>
    </row>
    <row r="23" spans="1:82">
      <c r="A23" s="85" t="s">
        <v>235</v>
      </c>
      <c r="B23" s="85">
        <f>B22+B18</f>
        <v>21</v>
      </c>
      <c r="C23" s="85"/>
      <c r="D23" s="91"/>
      <c r="E23" s="85"/>
      <c r="F23" s="91"/>
      <c r="G23" s="64"/>
      <c r="H23" s="64"/>
      <c r="I23" s="64"/>
      <c r="J23" s="64"/>
      <c r="K23" s="87" t="s">
        <v>707</v>
      </c>
      <c r="L23" s="95"/>
      <c r="M23" s="91">
        <f>'Cost Assumptions'!O37+Development!B33/'Cost Assumptions'!O38*Exploration!C15</f>
        <v>33.769230769230774</v>
      </c>
      <c r="N23" s="91">
        <f>(M23*('Cost Assumptions'!O36+'Cost Assumptions'!O24)+'Cost Assumptions'!O35*Development!B33)/1000+'Cost Assumptions'!O34</f>
        <v>54081.057284383569</v>
      </c>
      <c r="O23" s="91">
        <f>'Cost Assumptions'!O72*Development!B34</f>
        <v>24681.023999999994</v>
      </c>
      <c r="P23" s="91">
        <f>O23+N23</f>
        <v>78762.081284383559</v>
      </c>
      <c r="Q23" s="64"/>
      <c r="R23" s="64"/>
      <c r="S23" s="64"/>
      <c r="T23" s="64"/>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c r="BR23" s="64"/>
      <c r="BS23" s="64"/>
      <c r="BT23" s="64"/>
      <c r="BU23" s="64"/>
      <c r="BV23" s="64"/>
      <c r="BW23" s="64"/>
      <c r="BX23" s="64"/>
      <c r="BY23" s="64"/>
      <c r="BZ23" s="64"/>
      <c r="CA23" s="64"/>
      <c r="CB23" s="64"/>
      <c r="CC23" s="64"/>
      <c r="CD23" s="64"/>
    </row>
    <row r="24" spans="1:82">
      <c r="A24" s="64"/>
      <c r="B24" s="64"/>
      <c r="C24" s="64"/>
      <c r="D24" s="64"/>
      <c r="E24" s="64"/>
      <c r="F24" s="64"/>
      <c r="G24" s="64"/>
      <c r="H24" s="64"/>
      <c r="I24" s="64"/>
      <c r="J24" s="64"/>
      <c r="K24" s="87" t="s">
        <v>708</v>
      </c>
      <c r="L24" s="95"/>
      <c r="M24" s="91">
        <f>'Cost Assumptions'!O37+Development!B32/'Cost Assumptions'!O38*Exploration!C15</f>
        <v>43</v>
      </c>
      <c r="N24" s="91">
        <f>(M24*('Cost Assumptions'!O36+'Cost Assumptions'!O24)+'Cost Assumptions'!O35*Development!B32)/1000+'Cost Assumptions'!O34</f>
        <v>66849.073170410964</v>
      </c>
      <c r="O24" s="91"/>
      <c r="P24" s="91">
        <f>N24</f>
        <v>66849.073170410964</v>
      </c>
      <c r="Q24" s="64"/>
      <c r="R24" s="64"/>
      <c r="S24" s="64"/>
      <c r="T24" s="64"/>
      <c r="U24" s="64"/>
      <c r="V24" s="64"/>
      <c r="W24" s="64"/>
      <c r="X24" s="64"/>
      <c r="Y24" s="64"/>
      <c r="Z24" s="64"/>
      <c r="AA24" s="64"/>
      <c r="AB24" s="64"/>
      <c r="AC24" s="64"/>
      <c r="AD24" s="64"/>
      <c r="AE24" s="64"/>
      <c r="AF24" s="64"/>
      <c r="AG24" s="64"/>
      <c r="AH24" s="64"/>
      <c r="AI24" s="64"/>
      <c r="AJ24" s="64"/>
      <c r="AK24" s="64"/>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c r="BR24" s="64"/>
      <c r="BS24" s="64"/>
      <c r="BT24" s="64"/>
      <c r="BU24" s="64"/>
      <c r="BV24" s="64"/>
      <c r="BW24" s="64"/>
      <c r="BX24" s="64"/>
      <c r="BY24" s="64"/>
      <c r="BZ24" s="64"/>
      <c r="CA24" s="64"/>
      <c r="CB24" s="64"/>
      <c r="CC24" s="64"/>
      <c r="CD24" s="64"/>
    </row>
    <row r="25" spans="1:82">
      <c r="A25" s="64"/>
      <c r="B25" s="64"/>
      <c r="C25" s="64"/>
      <c r="D25" s="64"/>
      <c r="E25" s="64"/>
      <c r="F25" s="64"/>
      <c r="G25" s="64"/>
      <c r="H25" s="64"/>
      <c r="I25" s="64"/>
      <c r="J25" s="64"/>
      <c r="K25" s="87" t="s">
        <v>712</v>
      </c>
      <c r="L25" s="95"/>
      <c r="M25" s="85"/>
      <c r="N25" s="85"/>
      <c r="O25" s="85"/>
      <c r="P25" s="116" t="s">
        <v>893</v>
      </c>
      <c r="Q25" s="116"/>
      <c r="R25" s="64"/>
      <c r="S25" s="64"/>
      <c r="T25" s="64"/>
      <c r="U25" s="64"/>
      <c r="V25" s="64"/>
      <c r="W25" s="64"/>
      <c r="X25" s="64"/>
      <c r="Y25" s="64"/>
      <c r="Z25" s="64"/>
      <c r="AA25" s="64"/>
      <c r="AB25" s="64"/>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c r="BR25" s="64"/>
      <c r="BS25" s="64"/>
      <c r="BT25" s="64"/>
      <c r="BU25" s="64"/>
      <c r="BV25" s="64"/>
      <c r="BW25" s="64"/>
      <c r="BX25" s="64"/>
      <c r="BY25" s="64"/>
      <c r="BZ25" s="64"/>
      <c r="CA25" s="64"/>
      <c r="CB25" s="64"/>
      <c r="CC25" s="64"/>
      <c r="CD25" s="64"/>
    </row>
    <row r="26" spans="1:82">
      <c r="A26" s="85" t="s">
        <v>664</v>
      </c>
      <c r="B26" s="85">
        <f>MIN(5,VLOOKUP(B15,drill_centres,2))</f>
        <v>3</v>
      </c>
      <c r="C26" s="64" t="s">
        <v>162</v>
      </c>
      <c r="D26" s="64"/>
      <c r="E26" s="64"/>
      <c r="F26" s="64"/>
      <c r="G26" s="64"/>
      <c r="H26" s="64"/>
      <c r="I26" s="64"/>
      <c r="J26" s="64"/>
      <c r="K26" s="64"/>
      <c r="L26" s="64"/>
      <c r="M26" s="64"/>
      <c r="N26" s="64"/>
      <c r="O26" s="64"/>
      <c r="P26" s="64"/>
      <c r="Q26" s="64"/>
      <c r="R26" s="64"/>
      <c r="S26" s="64"/>
      <c r="T26" s="64"/>
      <c r="U26" s="64"/>
      <c r="V26" s="64"/>
      <c r="W26" s="64"/>
      <c r="X26" s="64"/>
      <c r="Y26" s="64"/>
      <c r="Z26" s="64"/>
      <c r="AA26" s="64"/>
      <c r="AB26" s="64"/>
      <c r="AC26" s="64"/>
      <c r="AD26" s="64"/>
      <c r="AE26" s="64"/>
      <c r="AF26" s="64"/>
      <c r="AG26" s="64"/>
      <c r="AH26" s="64"/>
      <c r="AI26" s="64"/>
      <c r="AJ26" s="64"/>
      <c r="AK26" s="64"/>
      <c r="AL26" s="64"/>
      <c r="AM26" s="64"/>
      <c r="AN26" s="64"/>
      <c r="AO26" s="64"/>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c r="BR26" s="64"/>
      <c r="BS26" s="64"/>
      <c r="BT26" s="64"/>
      <c r="BU26" s="64"/>
      <c r="BV26" s="64"/>
      <c r="BW26" s="64"/>
      <c r="BX26" s="64"/>
      <c r="BY26" s="64"/>
      <c r="BZ26" s="64"/>
      <c r="CA26" s="64"/>
      <c r="CB26" s="64"/>
      <c r="CC26" s="64"/>
      <c r="CD26" s="64"/>
    </row>
    <row r="27" spans="1:82">
      <c r="A27" s="85" t="s">
        <v>665</v>
      </c>
      <c r="B27" s="85">
        <f>IF(OR(Input!B16=Fixed_Platform),1,0)</f>
        <v>0</v>
      </c>
      <c r="C27" s="85">
        <f>MAX(0,MIN(B15,IF(B27=0,0,ROUNDUP((B15-B18)/B26,0))))</f>
        <v>0</v>
      </c>
      <c r="D27" s="117"/>
      <c r="E27" s="117"/>
      <c r="F27" s="117"/>
      <c r="G27" s="64"/>
      <c r="H27" s="64"/>
      <c r="I27" s="64"/>
      <c r="J27" s="64"/>
      <c r="K27" s="64"/>
      <c r="L27" s="64" t="s">
        <v>894</v>
      </c>
      <c r="M27" s="64"/>
      <c r="N27" s="64"/>
      <c r="O27" s="64"/>
      <c r="P27" s="64"/>
      <c r="Q27" s="64"/>
      <c r="R27" s="64"/>
      <c r="S27" s="64"/>
      <c r="T27" s="64"/>
      <c r="U27" s="64"/>
      <c r="V27" s="64"/>
      <c r="W27" s="64"/>
      <c r="X27" s="64"/>
      <c r="Y27" s="64"/>
      <c r="Z27" s="64"/>
      <c r="AA27" s="64"/>
      <c r="AB27" s="64"/>
      <c r="AC27" s="64"/>
      <c r="AD27" s="64"/>
      <c r="AE27" s="64"/>
      <c r="AF27" s="64"/>
      <c r="AG27" s="64"/>
      <c r="AH27" s="64"/>
      <c r="AI27" s="64"/>
      <c r="AJ27" s="64"/>
      <c r="AK27" s="64"/>
      <c r="AL27" s="64"/>
      <c r="AM27" s="64"/>
      <c r="AN27" s="64"/>
      <c r="AO27" s="64"/>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c r="BR27" s="64"/>
      <c r="BS27" s="64"/>
      <c r="BT27" s="64"/>
      <c r="BU27" s="64"/>
      <c r="BV27" s="64"/>
      <c r="BW27" s="64"/>
      <c r="BX27" s="64"/>
      <c r="BY27" s="64"/>
      <c r="BZ27" s="64"/>
      <c r="CA27" s="64"/>
      <c r="CB27" s="64"/>
      <c r="CC27" s="64"/>
      <c r="CD27" s="64"/>
    </row>
    <row r="28" spans="1:82">
      <c r="A28" s="85" t="s">
        <v>666</v>
      </c>
      <c r="B28" s="85">
        <f>IF(B27=B26,IF(B18&gt;0,1,0),B26-B27)</f>
        <v>3</v>
      </c>
      <c r="C28" s="85">
        <f>IF($B$28=0,0,MAX(0,MIN($B$15-$C$27,ROUNDUP(($B$15-$C$27)/$B$28,0))))</f>
        <v>7</v>
      </c>
      <c r="D28" s="85">
        <f>IF($B$28=0,0,MAX(0,MIN($B$15-$C$27-SUM(C28:$C28),ROUNDUP(($B$15-$C$27)/$B$28,0))))</f>
        <v>7</v>
      </c>
      <c r="E28" s="85">
        <f>IF($B$28=0,0,MAX(0,MIN($B$15-$C$27-SUM($C28:D28),ROUNDUP(($B$15-$C$27)/$B$28,0))))</f>
        <v>7</v>
      </c>
      <c r="F28" s="85">
        <f>IF($B$28=0,0,MAX(0,MIN($B$15-$C$27-SUM($C28:E28),ROUNDUP(($B$15-$C$27)/$B$28,0))))</f>
        <v>0</v>
      </c>
      <c r="G28" s="85">
        <f>IF($B$28=0,0,MAX(0,MIN($B$15-$C$27-SUM($C28:F28),ROUNDUP(($B$15-$C$27)/$B$28,0))))</f>
        <v>0</v>
      </c>
      <c r="H28" s="64"/>
      <c r="I28" s="64"/>
      <c r="J28" s="64"/>
      <c r="K28" s="64"/>
      <c r="L28" s="64"/>
      <c r="M28" s="64"/>
      <c r="N28" s="64"/>
      <c r="O28" s="64"/>
      <c r="P28" s="64"/>
      <c r="Q28" s="64"/>
      <c r="R28" s="64"/>
      <c r="S28" s="64"/>
      <c r="T28" s="64"/>
      <c r="U28" s="64"/>
      <c r="V28" s="64"/>
      <c r="W28" s="64"/>
      <c r="X28" s="64"/>
      <c r="Y28" s="64"/>
      <c r="Z28" s="64"/>
      <c r="AA28" s="64"/>
      <c r="AB28" s="64"/>
      <c r="AC28" s="64"/>
      <c r="AD28" s="64"/>
      <c r="AE28" s="64"/>
      <c r="AF28" s="64"/>
      <c r="AG28" s="64"/>
      <c r="AH28" s="64"/>
      <c r="AI28" s="64"/>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c r="BR28" s="64"/>
      <c r="BS28" s="64"/>
      <c r="BT28" s="64"/>
      <c r="BU28" s="64"/>
      <c r="BV28" s="64"/>
      <c r="BW28" s="64"/>
      <c r="BX28" s="64"/>
      <c r="BY28" s="64"/>
      <c r="BZ28" s="64"/>
      <c r="CA28" s="64"/>
      <c r="CB28" s="64"/>
      <c r="CC28" s="64"/>
      <c r="CD28" s="64"/>
    </row>
    <row r="29" spans="1:82">
      <c r="A29" s="85" t="s">
        <v>231</v>
      </c>
      <c r="B29" s="85"/>
      <c r="C29" s="85">
        <f>IF(B26-B27=0,B18,IF($B$28=0,0,ROUNDUP($B$18/$B$28,0)))</f>
        <v>1</v>
      </c>
      <c r="D29" s="85">
        <f>IF($B$28=0,0,MAX(0,MIN($B$18-SUM(C29:$C29),ROUNDUP($B$18/$B$28,0))))</f>
        <v>1</v>
      </c>
      <c r="E29" s="85">
        <f>IF($B$28=0,0,MAX(0,MIN($B$18-SUM($C29:D29),ROUNDUP($B$18/$B$28,0))))</f>
        <v>1</v>
      </c>
      <c r="F29" s="85">
        <f>IF($B$28=0,0,MAX(0,MIN($B$18-SUM($C29:E29),ROUNDUP($B$18/$B$28,0))))</f>
        <v>0</v>
      </c>
      <c r="G29" s="85">
        <f>IF($B$28=0,0,MAX(0,MIN($B$18-SUM($C29:F29),ROUNDUP($B$18/$B$28,0))))</f>
        <v>0</v>
      </c>
      <c r="H29" s="64"/>
      <c r="I29" s="64"/>
      <c r="J29" s="64"/>
      <c r="K29" s="64"/>
      <c r="L29" s="64"/>
      <c r="M29" s="64"/>
      <c r="N29" s="64"/>
      <c r="O29" s="64"/>
      <c r="P29" s="64"/>
      <c r="Q29" s="64"/>
      <c r="R29" s="64"/>
      <c r="S29" s="64"/>
      <c r="T29" s="64"/>
      <c r="U29" s="64"/>
      <c r="V29" s="64"/>
      <c r="W29" s="64"/>
      <c r="X29" s="64"/>
      <c r="Y29" s="64"/>
      <c r="Z29" s="64"/>
      <c r="AA29" s="64"/>
      <c r="AB29" s="64"/>
      <c r="AC29" s="64"/>
      <c r="AD29" s="64"/>
      <c r="AE29" s="64"/>
      <c r="AF29" s="64"/>
      <c r="AG29" s="64"/>
      <c r="AH29" s="64"/>
      <c r="AI29" s="64"/>
      <c r="AJ29" s="64"/>
      <c r="AK29" s="64"/>
      <c r="AL29" s="64"/>
      <c r="AM29" s="64"/>
      <c r="AN29" s="64"/>
      <c r="AO29" s="64"/>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c r="BR29" s="64"/>
      <c r="BS29" s="64"/>
      <c r="BT29" s="64"/>
      <c r="BU29" s="64"/>
      <c r="BV29" s="64"/>
      <c r="BW29" s="64"/>
      <c r="BX29" s="64"/>
      <c r="BY29" s="64"/>
      <c r="BZ29" s="64"/>
      <c r="CA29" s="64"/>
      <c r="CB29" s="64"/>
      <c r="CC29" s="64"/>
      <c r="CD29" s="64"/>
    </row>
    <row r="30" spans="1:82">
      <c r="A30" s="84" t="s">
        <v>236</v>
      </c>
      <c r="B30" s="64"/>
      <c r="C30" s="64"/>
      <c r="D30" s="64"/>
      <c r="E30" s="64"/>
      <c r="F30" s="64"/>
      <c r="G30" s="64"/>
      <c r="H30" s="64"/>
      <c r="I30" s="64"/>
      <c r="J30" s="64"/>
      <c r="K30" s="64"/>
      <c r="L30" s="64"/>
      <c r="M30" s="64"/>
      <c r="N30" s="64"/>
      <c r="O30" s="64"/>
      <c r="P30" s="64"/>
      <c r="Q30" s="64"/>
      <c r="R30" s="64"/>
      <c r="S30" s="64"/>
      <c r="T30" s="64"/>
      <c r="U30" s="64"/>
      <c r="V30" s="64"/>
      <c r="W30" s="64"/>
      <c r="X30" s="64"/>
      <c r="Y30" s="64"/>
      <c r="Z30" s="64"/>
      <c r="AA30" s="64"/>
      <c r="AB30" s="64"/>
      <c r="AC30" s="64"/>
      <c r="AD30" s="64"/>
      <c r="AE30" s="64"/>
      <c r="AF30" s="64"/>
      <c r="AG30" s="64"/>
      <c r="AH30" s="64"/>
      <c r="AI30" s="64"/>
      <c r="AJ30" s="64"/>
      <c r="AK30" s="64"/>
      <c r="AL30" s="64"/>
      <c r="AM30" s="64"/>
      <c r="AN30" s="64"/>
      <c r="AO30" s="64"/>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64"/>
      <c r="BX30" s="64"/>
      <c r="BY30" s="64"/>
      <c r="BZ30" s="64"/>
      <c r="CA30" s="64"/>
      <c r="CB30" s="64"/>
      <c r="CC30" s="64"/>
      <c r="CD30" s="64"/>
    </row>
    <row r="31" spans="1:82">
      <c r="A31" s="64"/>
      <c r="B31" s="64"/>
      <c r="C31" s="64"/>
      <c r="D31" s="64"/>
      <c r="E31" s="64"/>
      <c r="F31" s="64"/>
      <c r="G31" s="64"/>
      <c r="H31" s="64"/>
      <c r="I31" s="64"/>
      <c r="J31" s="64"/>
      <c r="K31" s="64"/>
      <c r="L31" s="64"/>
      <c r="M31" s="64"/>
      <c r="N31" s="64"/>
      <c r="O31" s="64"/>
      <c r="P31" s="64"/>
      <c r="Q31" s="64"/>
      <c r="R31" s="64"/>
      <c r="S31" s="64"/>
      <c r="T31" s="64"/>
      <c r="U31" s="64"/>
      <c r="V31" s="64"/>
      <c r="W31" s="64"/>
      <c r="X31" s="64"/>
      <c r="Y31" s="64"/>
      <c r="Z31" s="64"/>
      <c r="AA31" s="64"/>
      <c r="AB31" s="64"/>
      <c r="AC31" s="64"/>
      <c r="AD31" s="64"/>
      <c r="AE31" s="64"/>
      <c r="AF31" s="64"/>
      <c r="AG31" s="64"/>
      <c r="AH31" s="64"/>
      <c r="AI31" s="64"/>
      <c r="AJ31" s="64"/>
      <c r="AK31" s="64"/>
      <c r="AL31" s="64"/>
      <c r="AM31" s="64"/>
      <c r="AN31" s="64"/>
      <c r="AO31" s="64"/>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c r="BR31" s="64"/>
      <c r="BS31" s="64"/>
      <c r="BT31" s="64"/>
      <c r="BU31" s="64"/>
      <c r="BV31" s="64"/>
      <c r="BW31" s="64"/>
      <c r="BX31" s="64"/>
      <c r="BY31" s="64"/>
      <c r="BZ31" s="64"/>
      <c r="CA31" s="64"/>
      <c r="CB31" s="64"/>
      <c r="CC31" s="64"/>
      <c r="CD31" s="64"/>
    </row>
    <row r="32" spans="1:82">
      <c r="A32" s="85" t="s">
        <v>713</v>
      </c>
      <c r="B32" s="91">
        <f>INDEX('Sched &amp; Prod Assumptions'!B48:B50,MATCH(Input!B29,'Sched &amp; Prod Assumptions'!A48:A50,0),1)*(Thresholds!E3-Input!B15)</f>
        <v>2600</v>
      </c>
      <c r="C32" s="85" t="s">
        <v>237</v>
      </c>
      <c r="D32" s="64"/>
      <c r="E32" s="64"/>
      <c r="F32" s="64"/>
      <c r="G32" s="64"/>
      <c r="H32" s="64"/>
      <c r="I32" s="64"/>
      <c r="J32" s="64"/>
      <c r="K32" s="64"/>
      <c r="L32" s="64"/>
      <c r="M32" s="64"/>
      <c r="N32" s="64"/>
      <c r="O32" s="64"/>
      <c r="P32" s="64"/>
      <c r="Q32" s="64"/>
      <c r="R32" s="64"/>
      <c r="S32" s="64"/>
      <c r="T32" s="64"/>
      <c r="U32" s="64"/>
      <c r="V32" s="64"/>
      <c r="W32" s="64"/>
      <c r="X32" s="64"/>
      <c r="Y32" s="64"/>
      <c r="Z32" s="64"/>
      <c r="AA32" s="64"/>
      <c r="AB32" s="64"/>
      <c r="AC32" s="64"/>
      <c r="AD32" s="64"/>
      <c r="AE32" s="64"/>
      <c r="AF32" s="64"/>
      <c r="AG32" s="64"/>
      <c r="AH32" s="64"/>
      <c r="AI32" s="64"/>
      <c r="AJ32" s="64"/>
      <c r="AK32" s="64"/>
      <c r="AL32" s="64"/>
      <c r="AM32" s="64"/>
      <c r="AN32" s="64"/>
      <c r="AO32" s="64"/>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c r="BR32" s="64"/>
      <c r="BS32" s="64"/>
      <c r="BT32" s="64"/>
      <c r="BU32" s="64"/>
      <c r="BV32" s="64"/>
      <c r="BW32" s="64"/>
      <c r="BX32" s="64"/>
      <c r="BY32" s="64"/>
      <c r="BZ32" s="64"/>
      <c r="CA32" s="64"/>
      <c r="CB32" s="64"/>
      <c r="CC32" s="64"/>
      <c r="CD32" s="64"/>
    </row>
    <row r="33" spans="1:82">
      <c r="A33" s="85" t="s">
        <v>714</v>
      </c>
      <c r="B33" s="91">
        <f>Thresholds!E3-Input!B15</f>
        <v>2000</v>
      </c>
      <c r="C33" s="85" t="s">
        <v>237</v>
      </c>
      <c r="D33" s="64"/>
      <c r="E33" s="64"/>
      <c r="F33" s="64"/>
      <c r="G33" s="64"/>
      <c r="H33" s="64"/>
      <c r="I33" s="64"/>
      <c r="J33" s="64"/>
      <c r="K33" s="64"/>
      <c r="L33" s="64"/>
      <c r="M33" s="64"/>
      <c r="N33" s="64"/>
      <c r="O33" s="64"/>
      <c r="P33" s="64"/>
      <c r="Q33" s="64"/>
      <c r="R33" s="64"/>
      <c r="S33" s="64"/>
      <c r="T33" s="64"/>
      <c r="U33" s="64"/>
      <c r="V33" s="64"/>
      <c r="W33" s="64"/>
      <c r="X33" s="64"/>
      <c r="Y33" s="64"/>
      <c r="Z33" s="64"/>
      <c r="AA33" s="64"/>
      <c r="AB33" s="64"/>
      <c r="AC33" s="64"/>
      <c r="AD33" s="64"/>
      <c r="AE33" s="64"/>
      <c r="AF33" s="64"/>
      <c r="AG33" s="64"/>
      <c r="AH33" s="64"/>
      <c r="AI33" s="64"/>
      <c r="AJ33" s="64"/>
      <c r="AK33" s="64"/>
      <c r="AL33" s="64"/>
      <c r="AM33" s="64"/>
      <c r="AN33" s="64"/>
      <c r="AO33" s="64"/>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c r="BR33" s="64"/>
      <c r="BS33" s="64"/>
      <c r="BT33" s="64"/>
      <c r="BU33" s="64"/>
      <c r="BV33" s="64"/>
      <c r="BW33" s="64"/>
      <c r="BX33" s="64"/>
      <c r="BY33" s="64"/>
      <c r="BZ33" s="64"/>
      <c r="CA33" s="64"/>
      <c r="CB33" s="64"/>
      <c r="CC33" s="64"/>
      <c r="CD33" s="64"/>
    </row>
    <row r="34" spans="1:82">
      <c r="A34" s="85" t="s">
        <v>238</v>
      </c>
      <c r="B34" s="91">
        <f>INDEX('Sched &amp; Prod Assumptions'!B70:B72,MATCH(Input!B29,'Sched &amp; Prod Assumptions'!A55:A57,0),1)</f>
        <v>6</v>
      </c>
      <c r="C34" s="85" t="s">
        <v>239</v>
      </c>
      <c r="D34" s="64"/>
      <c r="E34" s="64"/>
      <c r="F34" s="64"/>
      <c r="G34" s="64"/>
      <c r="H34" s="64"/>
      <c r="I34" s="64"/>
      <c r="J34" s="64"/>
      <c r="K34" s="64"/>
      <c r="L34" s="64"/>
      <c r="M34" s="64"/>
      <c r="N34" s="64"/>
      <c r="O34" s="64"/>
      <c r="P34" s="64"/>
      <c r="Q34" s="64"/>
      <c r="R34" s="64"/>
      <c r="S34" s="64"/>
      <c r="T34" s="64"/>
      <c r="U34" s="64"/>
      <c r="V34" s="64"/>
      <c r="W34" s="64"/>
      <c r="X34" s="64"/>
      <c r="Y34" s="64"/>
      <c r="Z34" s="64"/>
      <c r="AA34" s="64"/>
      <c r="AB34" s="64"/>
      <c r="AC34" s="64"/>
      <c r="AD34" s="64"/>
      <c r="AE34" s="64"/>
      <c r="AF34" s="64"/>
      <c r="AG34" s="64"/>
      <c r="AH34" s="64"/>
      <c r="AI34" s="64"/>
      <c r="AJ34" s="64"/>
      <c r="AK34" s="64"/>
      <c r="AL34" s="64"/>
      <c r="AM34" s="64"/>
      <c r="AN34" s="64"/>
      <c r="AO34" s="64"/>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c r="BR34" s="64"/>
      <c r="BS34" s="64"/>
      <c r="BT34" s="64"/>
      <c r="BU34" s="64"/>
      <c r="BV34" s="64"/>
      <c r="BW34" s="64"/>
      <c r="BX34" s="64"/>
      <c r="BY34" s="64"/>
      <c r="BZ34" s="64"/>
      <c r="CA34" s="64"/>
      <c r="CB34" s="64"/>
      <c r="CC34" s="64"/>
      <c r="CD34" s="64"/>
    </row>
    <row r="35" spans="1:82">
      <c r="A35" s="85" t="s">
        <v>715</v>
      </c>
      <c r="B35" s="91">
        <v>10</v>
      </c>
      <c r="C35" s="85" t="s">
        <v>239</v>
      </c>
      <c r="D35" s="64"/>
      <c r="E35" s="64"/>
      <c r="F35" s="64"/>
      <c r="G35" s="64"/>
      <c r="H35" s="64"/>
      <c r="I35" s="64"/>
      <c r="J35" s="64"/>
      <c r="K35" s="64"/>
      <c r="L35" s="64"/>
      <c r="M35" s="64"/>
      <c r="N35" s="64"/>
      <c r="O35" s="64"/>
      <c r="P35" s="64"/>
      <c r="Q35" s="64"/>
      <c r="R35" s="64"/>
      <c r="S35" s="64"/>
      <c r="T35" s="64"/>
      <c r="U35" s="64"/>
      <c r="V35" s="64"/>
      <c r="W35" s="64"/>
      <c r="X35" s="64"/>
      <c r="Y35" s="64"/>
      <c r="Z35" s="64"/>
      <c r="AA35" s="64"/>
      <c r="AB35" s="64"/>
      <c r="AC35" s="64"/>
      <c r="AD35" s="64"/>
      <c r="AE35" s="64"/>
      <c r="AF35" s="64"/>
      <c r="AG35" s="64"/>
      <c r="AH35" s="64"/>
      <c r="AI35" s="64"/>
      <c r="AJ35" s="64"/>
      <c r="AK35" s="64"/>
      <c r="AL35" s="64"/>
      <c r="AM35" s="64"/>
      <c r="AN35" s="64"/>
      <c r="AO35" s="64"/>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c r="BR35" s="64"/>
      <c r="BS35" s="64"/>
      <c r="BT35" s="64"/>
      <c r="BU35" s="64"/>
      <c r="BV35" s="64"/>
      <c r="BW35" s="64"/>
      <c r="BX35" s="64"/>
      <c r="BY35" s="64"/>
      <c r="BZ35" s="64"/>
      <c r="CA35" s="64"/>
      <c r="CB35" s="64"/>
      <c r="CC35" s="64"/>
      <c r="CD35" s="64"/>
    </row>
    <row r="36" spans="1:82">
      <c r="A36" s="85" t="s">
        <v>240</v>
      </c>
      <c r="B36" s="91">
        <f>Input!B19</f>
        <v>250</v>
      </c>
      <c r="C36" s="85" t="s">
        <v>239</v>
      </c>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c r="AG36" s="64"/>
      <c r="AH36" s="64"/>
      <c r="AI36" s="64"/>
      <c r="AJ36" s="64"/>
      <c r="AK36" s="64"/>
      <c r="AL36" s="64"/>
      <c r="AM36" s="64"/>
      <c r="AN36" s="64"/>
      <c r="AO36" s="64"/>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c r="BR36" s="64"/>
      <c r="BS36" s="64"/>
      <c r="BT36" s="64"/>
      <c r="BU36" s="64"/>
      <c r="BV36" s="64"/>
      <c r="BW36" s="64"/>
      <c r="BX36" s="64"/>
      <c r="BY36" s="64"/>
      <c r="BZ36" s="64"/>
      <c r="CA36" s="64"/>
      <c r="CB36" s="64"/>
      <c r="CC36" s="64"/>
      <c r="CD36" s="64"/>
    </row>
    <row r="37" spans="1:82">
      <c r="A37" s="64"/>
      <c r="B37" s="64"/>
      <c r="C37" s="64"/>
      <c r="D37" s="64"/>
      <c r="E37" s="64" t="s">
        <v>740</v>
      </c>
      <c r="F37" s="64"/>
      <c r="G37" s="118">
        <f>IF(Input!B13="Gas",'Sched &amp; Prod Assumptions'!B23,'Sched &amp; Prod Assumptions'!B22)</f>
        <v>0.5</v>
      </c>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c r="AG37" s="64"/>
      <c r="AH37" s="64"/>
      <c r="AI37" s="64"/>
      <c r="AJ37" s="64"/>
      <c r="AK37" s="64"/>
      <c r="AL37" s="64"/>
      <c r="AM37" s="64"/>
      <c r="AN37" s="64"/>
      <c r="AO37" s="64"/>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c r="BR37" s="64"/>
      <c r="BS37" s="64"/>
      <c r="BT37" s="64"/>
      <c r="BU37" s="64"/>
      <c r="BV37" s="64"/>
      <c r="BW37" s="64"/>
      <c r="BX37" s="64"/>
      <c r="BY37" s="64"/>
      <c r="BZ37" s="64"/>
      <c r="CA37" s="64"/>
      <c r="CB37" s="64"/>
      <c r="CC37" s="64"/>
      <c r="CD37" s="64"/>
    </row>
    <row r="38" spans="1:82">
      <c r="A38" s="84" t="s">
        <v>241</v>
      </c>
      <c r="B38" s="64"/>
      <c r="C38" s="115"/>
      <c r="D38" s="115"/>
      <c r="E38" s="115"/>
      <c r="F38" s="115"/>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c r="AG38" s="64"/>
      <c r="AH38" s="64"/>
      <c r="AI38" s="64"/>
      <c r="AJ38" s="64"/>
      <c r="AK38" s="64"/>
      <c r="AL38" s="64"/>
      <c r="AM38" s="64"/>
      <c r="AN38" s="64"/>
      <c r="AO38" s="64"/>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c r="BR38" s="64"/>
      <c r="BS38" s="64"/>
      <c r="BT38" s="64"/>
      <c r="BU38" s="64"/>
      <c r="BV38" s="64"/>
      <c r="BW38" s="64"/>
      <c r="BX38" s="64"/>
      <c r="BY38" s="64"/>
      <c r="BZ38" s="64"/>
      <c r="CA38" s="64"/>
      <c r="CB38" s="64"/>
      <c r="CC38" s="64"/>
      <c r="CD38" s="64"/>
    </row>
    <row r="39" spans="1:82">
      <c r="A39" s="64"/>
      <c r="B39" s="89" t="s">
        <v>671</v>
      </c>
      <c r="C39" s="89" t="s">
        <v>242</v>
      </c>
      <c r="D39" s="89" t="s">
        <v>228</v>
      </c>
      <c r="E39" s="89" t="s">
        <v>79</v>
      </c>
      <c r="F39" s="89" t="s">
        <v>192</v>
      </c>
      <c r="G39" s="89" t="s">
        <v>243</v>
      </c>
      <c r="H39" s="89" t="s">
        <v>244</v>
      </c>
      <c r="I39" s="89" t="s">
        <v>245</v>
      </c>
      <c r="J39" s="89" t="s">
        <v>246</v>
      </c>
      <c r="K39" s="89" t="s">
        <v>247</v>
      </c>
      <c r="L39" s="89" t="s">
        <v>248</v>
      </c>
      <c r="M39" s="89" t="s">
        <v>676</v>
      </c>
      <c r="N39" s="89" t="s">
        <v>677</v>
      </c>
      <c r="O39" s="89" t="s">
        <v>42</v>
      </c>
      <c r="P39" s="89" t="s">
        <v>42</v>
      </c>
      <c r="Q39" s="89" t="s">
        <v>42</v>
      </c>
      <c r="R39" s="89" t="s">
        <v>42</v>
      </c>
      <c r="S39" s="89" t="s">
        <v>42</v>
      </c>
      <c r="T39" s="89" t="s">
        <v>42</v>
      </c>
      <c r="U39" s="89" t="s">
        <v>42</v>
      </c>
      <c r="V39" s="64" t="s">
        <v>13</v>
      </c>
      <c r="W39" s="64"/>
      <c r="X39" s="64"/>
      <c r="Y39" s="64"/>
      <c r="Z39" s="64"/>
      <c r="AA39" s="64"/>
      <c r="AB39" s="64"/>
      <c r="AC39" s="64"/>
      <c r="AD39" s="64"/>
      <c r="AE39" s="64"/>
      <c r="AF39" s="64"/>
      <c r="AG39" s="64"/>
      <c r="AH39" s="64"/>
      <c r="AI39" s="64"/>
      <c r="AJ39" s="64"/>
      <c r="AK39" s="64"/>
      <c r="AL39" s="64"/>
      <c r="AM39" s="64"/>
      <c r="AN39" s="64"/>
      <c r="AO39" s="64"/>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c r="BR39" s="64"/>
      <c r="BS39" s="64"/>
      <c r="BT39" s="64"/>
      <c r="BU39" s="64"/>
      <c r="BV39" s="64"/>
      <c r="BW39" s="64"/>
      <c r="BX39" s="64"/>
      <c r="BY39" s="64"/>
      <c r="BZ39" s="64"/>
      <c r="CA39" s="64"/>
      <c r="CB39" s="64"/>
      <c r="CC39" s="64"/>
      <c r="CD39" s="64"/>
    </row>
    <row r="40" spans="1:82">
      <c r="A40" s="85"/>
      <c r="B40" s="85"/>
      <c r="C40" s="85"/>
      <c r="D40" s="85"/>
      <c r="E40" s="85"/>
      <c r="F40" s="85"/>
      <c r="G40" s="104" t="s">
        <v>249</v>
      </c>
      <c r="H40" s="85"/>
      <c r="I40" s="85"/>
      <c r="J40" s="85"/>
      <c r="K40" s="85"/>
      <c r="L40" s="85"/>
      <c r="M40" s="85"/>
      <c r="N40" s="85"/>
      <c r="O40" s="85"/>
      <c r="P40" s="85"/>
      <c r="Q40" s="85"/>
      <c r="R40" s="85"/>
      <c r="S40" s="85"/>
      <c r="T40" s="85"/>
      <c r="U40" s="85"/>
      <c r="V40" s="64"/>
      <c r="W40" s="64"/>
      <c r="X40" s="64"/>
      <c r="Y40" s="64"/>
      <c r="Z40" s="64"/>
      <c r="AA40" s="64"/>
      <c r="AB40" s="64"/>
      <c r="AC40" s="64"/>
      <c r="AD40" s="64"/>
      <c r="AE40" s="64"/>
      <c r="AF40" s="64"/>
      <c r="AG40" s="64"/>
      <c r="AH40" s="64"/>
      <c r="AI40" s="64"/>
      <c r="AJ40" s="64"/>
      <c r="AK40" s="64"/>
      <c r="AL40" s="64"/>
      <c r="AM40" s="64"/>
      <c r="AN40" s="64"/>
      <c r="AO40" s="64"/>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c r="BR40" s="64"/>
      <c r="BS40" s="64"/>
      <c r="BT40" s="64"/>
      <c r="BU40" s="64"/>
      <c r="BV40" s="64"/>
      <c r="BW40" s="64"/>
      <c r="BX40" s="64"/>
      <c r="BY40" s="64"/>
      <c r="BZ40" s="64"/>
      <c r="CA40" s="64"/>
      <c r="CB40" s="64"/>
      <c r="CC40" s="64"/>
      <c r="CD40" s="64"/>
    </row>
    <row r="41" spans="1:82">
      <c r="A41" s="85" t="s">
        <v>250</v>
      </c>
      <c r="B41" s="91">
        <f>B21</f>
        <v>0</v>
      </c>
      <c r="C41" s="91">
        <f>B21*E21</f>
        <v>0</v>
      </c>
      <c r="D41" s="91">
        <f>B21*F21</f>
        <v>0</v>
      </c>
      <c r="E41" s="119">
        <f>H75</f>
        <v>47987</v>
      </c>
      <c r="F41" s="119">
        <f t="shared" ref="F41:F46" si="0">E41+C41</f>
        <v>47987</v>
      </c>
      <c r="G41" s="99">
        <f>ROUNDDOWN(MAX(0,IF(F41&lt;$F$75,1,IF(C41=0,0,($F$75-E41)/(F41-E41))))*B21,0)</f>
        <v>0</v>
      </c>
      <c r="H41" s="99">
        <f t="shared" ref="H41:H46" si="1">YEAR(E41)</f>
        <v>2031</v>
      </c>
      <c r="I41" s="99">
        <f t="shared" ref="I41:N42" si="2">H41+1</f>
        <v>2032</v>
      </c>
      <c r="J41" s="99">
        <f t="shared" si="2"/>
        <v>2033</v>
      </c>
      <c r="K41" s="99">
        <f t="shared" si="2"/>
        <v>2034</v>
      </c>
      <c r="L41" s="99">
        <f t="shared" si="2"/>
        <v>2035</v>
      </c>
      <c r="M41" s="99">
        <f t="shared" si="2"/>
        <v>2036</v>
      </c>
      <c r="N41" s="99">
        <f t="shared" si="2"/>
        <v>2037</v>
      </c>
      <c r="O41" s="91">
        <f t="shared" ref="O41:O52" si="3">IF(YEAR($E41)&gt;H41,0,IF(YEAR($E41)&lt;H41,IF(YEAR($F41)=H41,($F41-DATE(H41,1,1))/$C41*$D41,IF(YEAR($F41)&lt;H41,0,(DATE(H41+1,1,1)-DATE(H41,1,1))/$C41*$D41)),IF(YEAR($E41)=H41,IF(YEAR($F41)=H41,$D41,(DATE(H41+1,1,1)-$E41)/$C41*$D41))))</f>
        <v>0</v>
      </c>
      <c r="P41" s="91">
        <f t="shared" ref="P41:P52" si="4">IF(YEAR($E41)&gt;I41,0,IF(YEAR($E41)&lt;I41,IF(YEAR($F41)=I41,($F41-DATE(I41,1,1))/$C41*$D41,IF(YEAR($F41)&lt;I41,0,(DATE(I41+1,1,1)-DATE(I41,1,1))/$C41*$D41)),IF(YEAR($E41)=I41,IF(YEAR($F41)=I41,$D41,(DATE(I41+1,1,1)-$E41)/$C41*$D41))))</f>
        <v>0</v>
      </c>
      <c r="Q41" s="91">
        <f t="shared" ref="Q41:Q52" si="5">IF(YEAR($E41)&gt;J41,0,IF(YEAR($E41)&lt;J41,IF(YEAR($F41)=J41,($F41-DATE(J41,1,1))/$C41*$D41,IF(YEAR($F41)&lt;J41,0,(DATE(J41+1,1,1)-DATE(J41,1,1))/$C41*$D41)),IF(YEAR($E41)=J41,IF(YEAR($F41)=J41,$D41,(DATE(J41+1,1,1)-$E41)/$C41*$D41))))</f>
        <v>0</v>
      </c>
      <c r="R41" s="91">
        <f t="shared" ref="R41:R52" si="6">IF(YEAR($E41)&gt;K41,0,IF(YEAR($E41)&lt;K41,IF(YEAR($F41)=K41,($F41-DATE(K41,1,1))/$C41*$D41,IF(YEAR($F41)&lt;K41,0,(DATE(K41+1,1,1)-DATE(K41,1,1))/$C41*$D41)),IF(YEAR($E41)=K41,IF(YEAR($F41)=K41,$D41,(DATE(K41+1,1,1)-$E41)/$C41*$D41))))</f>
        <v>0</v>
      </c>
      <c r="S41" s="91">
        <f t="shared" ref="S41:S52" si="7">IF(YEAR($E41)&gt;L41,0,IF(YEAR($E41)&lt;L41,IF(YEAR($F41)=L41,($F41-DATE(L41,1,1))/$C41*$D41,IF(YEAR($F41)&lt;L41,0,(DATE(L41+1,1,1)-DATE(L41,1,1))/$C41*$D41)),IF(YEAR($E41)=L41,IF(YEAR($F41)=L41,$D41,(DATE(L41+1,1,1)-$E41)/$C41*$D41))))</f>
        <v>0</v>
      </c>
      <c r="T41" s="91">
        <f t="shared" ref="T41:T52" si="8">IF(YEAR($E41)&gt;M41,0,IF(YEAR($E41)&lt;M41,IF(YEAR($F41)=M41,($F41-DATE(M41,1,1))/$C41*$D41,IF(YEAR($F41)&lt;M41,0,(DATE(M41+1,1,1)-DATE(M41,1,1))/$C41*$D41)),IF(YEAR($E41)=M41,IF(YEAR($F41)=M41,$D41,(DATE(M41+1,1,1)-$E41)/$C41*$D41))))</f>
        <v>0</v>
      </c>
      <c r="U41" s="91">
        <f t="shared" ref="U41:U52" si="9">IF(YEAR($E41)&gt;N41,0,IF(YEAR($E41)&lt;N41,IF(YEAR($F41)=N41,($F41-DATE(N41,1,1))/$C41*$D41,IF(YEAR($F41)&lt;N41,0,(DATE(N41+1,1,1)-DATE(N41,1,1))/$C41*$D41)),IF(YEAR($E41)=N41,IF(YEAR($F41)=N41,$D41,(DATE(N41+1,1,1)-$E41)/$C41*$D41))))</f>
        <v>0</v>
      </c>
      <c r="V41" s="120">
        <f>SUM(O41:U41)</f>
        <v>0</v>
      </c>
      <c r="W41" s="120"/>
      <c r="X41" s="120"/>
      <c r="Y41" s="120"/>
      <c r="Z41" s="120"/>
      <c r="AA41" s="64"/>
      <c r="AB41" s="64"/>
      <c r="AC41" s="64"/>
      <c r="AD41" s="64"/>
      <c r="AE41" s="64"/>
      <c r="AF41" s="64"/>
      <c r="AG41" s="64"/>
      <c r="AH41" s="64"/>
      <c r="AI41" s="64"/>
      <c r="AJ41" s="64"/>
      <c r="AK41" s="64"/>
      <c r="AL41" s="64"/>
      <c r="AM41" s="64"/>
      <c r="AN41" s="64"/>
      <c r="AO41" s="64"/>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c r="BR41" s="64"/>
      <c r="BS41" s="64"/>
      <c r="BT41" s="64"/>
      <c r="BU41" s="64"/>
      <c r="BV41" s="64"/>
      <c r="BW41" s="64"/>
      <c r="BX41" s="64"/>
      <c r="BY41" s="64"/>
      <c r="BZ41" s="64"/>
      <c r="CA41" s="64"/>
      <c r="CB41" s="64"/>
      <c r="CC41" s="64"/>
      <c r="CD41" s="64"/>
    </row>
    <row r="42" spans="1:82">
      <c r="A42" s="85" t="s">
        <v>230</v>
      </c>
      <c r="B42" s="91">
        <f>B17</f>
        <v>0</v>
      </c>
      <c r="C42" s="91">
        <f>B17*E17</f>
        <v>0</v>
      </c>
      <c r="D42" s="91">
        <f>B17*F17</f>
        <v>0</v>
      </c>
      <c r="E42" s="119">
        <f>F41</f>
        <v>47987</v>
      </c>
      <c r="F42" s="119">
        <f t="shared" si="0"/>
        <v>47987</v>
      </c>
      <c r="G42" s="99">
        <f>ROUNDDOWN(MAX(0,IF(F42&lt;$F$75,1,IF(C42=0,0,($F$75-E42)/(F42-E42))))*B17,0)</f>
        <v>0</v>
      </c>
      <c r="H42" s="99">
        <f t="shared" si="1"/>
        <v>2031</v>
      </c>
      <c r="I42" s="99">
        <f t="shared" si="2"/>
        <v>2032</v>
      </c>
      <c r="J42" s="99">
        <f t="shared" si="2"/>
        <v>2033</v>
      </c>
      <c r="K42" s="99">
        <f t="shared" si="2"/>
        <v>2034</v>
      </c>
      <c r="L42" s="99">
        <f t="shared" si="2"/>
        <v>2035</v>
      </c>
      <c r="M42" s="99">
        <f t="shared" si="2"/>
        <v>2036</v>
      </c>
      <c r="N42" s="99">
        <f t="shared" si="2"/>
        <v>2037</v>
      </c>
      <c r="O42" s="91">
        <f t="shared" si="3"/>
        <v>0</v>
      </c>
      <c r="P42" s="91">
        <f t="shared" si="4"/>
        <v>0</v>
      </c>
      <c r="Q42" s="91">
        <f t="shared" si="5"/>
        <v>0</v>
      </c>
      <c r="R42" s="91">
        <f t="shared" si="6"/>
        <v>0</v>
      </c>
      <c r="S42" s="91">
        <f t="shared" si="7"/>
        <v>0</v>
      </c>
      <c r="T42" s="91">
        <f t="shared" si="8"/>
        <v>0</v>
      </c>
      <c r="U42" s="91">
        <f t="shared" si="9"/>
        <v>0</v>
      </c>
      <c r="V42" s="120">
        <f>SUM(O42:U42)</f>
        <v>0</v>
      </c>
      <c r="W42" s="120"/>
      <c r="X42" s="120"/>
      <c r="Y42" s="120"/>
      <c r="Z42" s="120"/>
      <c r="AA42" s="64"/>
      <c r="AB42" s="64"/>
      <c r="AC42" s="64"/>
      <c r="AD42" s="64"/>
      <c r="AE42" s="64"/>
      <c r="AF42" s="64"/>
      <c r="AG42" s="64"/>
      <c r="AH42" s="64"/>
      <c r="AI42" s="64"/>
      <c r="AJ42" s="64"/>
      <c r="AK42" s="64"/>
      <c r="AL42" s="64"/>
      <c r="AM42" s="64"/>
      <c r="AN42" s="64"/>
      <c r="AO42" s="64"/>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c r="BR42" s="64"/>
      <c r="BS42" s="64"/>
      <c r="BT42" s="64"/>
      <c r="BU42" s="64"/>
      <c r="BV42" s="64"/>
      <c r="BW42" s="64"/>
      <c r="BX42" s="64"/>
      <c r="BY42" s="64"/>
      <c r="BZ42" s="64"/>
      <c r="CA42" s="64"/>
      <c r="CB42" s="64"/>
      <c r="CC42" s="64"/>
      <c r="CD42" s="64"/>
    </row>
    <row r="43" spans="1:82">
      <c r="A43" s="85" t="s">
        <v>251</v>
      </c>
      <c r="B43" s="91">
        <f>B20</f>
        <v>0</v>
      </c>
      <c r="C43" s="91">
        <f>(C20+E20)*B43</f>
        <v>0</v>
      </c>
      <c r="D43" s="91">
        <f>(D20+F20)*B43</f>
        <v>0</v>
      </c>
      <c r="E43" s="119">
        <f>F42</f>
        <v>47987</v>
      </c>
      <c r="F43" s="119">
        <f t="shared" si="0"/>
        <v>47987</v>
      </c>
      <c r="G43" s="99">
        <f>ROUNDDOWN(MAX(0,IF(F43&lt;$F$75,1,IF(C43=0,0,($F$75-E43)/(F43-E43))))*B20,0)</f>
        <v>0</v>
      </c>
      <c r="H43" s="99">
        <f t="shared" si="1"/>
        <v>2031</v>
      </c>
      <c r="I43" s="99">
        <f t="shared" ref="I43:N43" si="10">H43+1</f>
        <v>2032</v>
      </c>
      <c r="J43" s="99">
        <f t="shared" si="10"/>
        <v>2033</v>
      </c>
      <c r="K43" s="99">
        <f t="shared" si="10"/>
        <v>2034</v>
      </c>
      <c r="L43" s="99">
        <f t="shared" si="10"/>
        <v>2035</v>
      </c>
      <c r="M43" s="99">
        <f t="shared" si="10"/>
        <v>2036</v>
      </c>
      <c r="N43" s="99">
        <f t="shared" si="10"/>
        <v>2037</v>
      </c>
      <c r="O43" s="91">
        <f t="shared" si="3"/>
        <v>0</v>
      </c>
      <c r="P43" s="91">
        <f t="shared" si="4"/>
        <v>0</v>
      </c>
      <c r="Q43" s="91">
        <f t="shared" si="5"/>
        <v>0</v>
      </c>
      <c r="R43" s="91">
        <f t="shared" si="6"/>
        <v>0</v>
      </c>
      <c r="S43" s="91">
        <f t="shared" si="7"/>
        <v>0</v>
      </c>
      <c r="T43" s="91">
        <f t="shared" si="8"/>
        <v>0</v>
      </c>
      <c r="U43" s="91">
        <f t="shared" si="9"/>
        <v>0</v>
      </c>
      <c r="V43" s="120">
        <f>SUM(O43:U43)</f>
        <v>0</v>
      </c>
      <c r="W43" s="120"/>
      <c r="X43" s="120"/>
      <c r="Y43" s="120"/>
      <c r="Z43" s="120"/>
      <c r="AA43" s="64"/>
      <c r="AB43" s="64"/>
      <c r="AC43" s="64"/>
      <c r="AD43" s="64"/>
      <c r="AE43" s="64"/>
      <c r="AF43" s="64"/>
      <c r="AG43" s="64"/>
      <c r="AH43" s="64"/>
      <c r="AI43" s="64"/>
      <c r="AJ43" s="64"/>
      <c r="AK43" s="64"/>
      <c r="AL43" s="64"/>
      <c r="AM43" s="64"/>
      <c r="AN43" s="64"/>
      <c r="AO43" s="64"/>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c r="BR43" s="64"/>
      <c r="BS43" s="64"/>
      <c r="BT43" s="64"/>
      <c r="BU43" s="64"/>
      <c r="BV43" s="64"/>
      <c r="BW43" s="64"/>
      <c r="BX43" s="64"/>
      <c r="BY43" s="64"/>
      <c r="BZ43" s="64"/>
      <c r="CA43" s="64"/>
      <c r="CB43" s="64"/>
      <c r="CC43" s="64"/>
      <c r="CD43" s="64"/>
    </row>
    <row r="44" spans="1:82">
      <c r="A44" s="85" t="s">
        <v>252</v>
      </c>
      <c r="B44" s="91">
        <f>B21</f>
        <v>0</v>
      </c>
      <c r="C44" s="91">
        <f>B21*C21</f>
        <v>0</v>
      </c>
      <c r="D44" s="91">
        <f>B21*D21</f>
        <v>0</v>
      </c>
      <c r="E44" s="119">
        <f>MIN(MAX(E74,F74-C44),F74-C44)</f>
        <v>47957</v>
      </c>
      <c r="F44" s="119">
        <f t="shared" si="0"/>
        <v>47957</v>
      </c>
      <c r="G44" s="99">
        <f>ROUNDDOWN(MAX(0,IF(F44&lt;$F$75,1,IF(C44=0,0,($F$75-E44)/(F44-E44))))*B21,0)</f>
        <v>0</v>
      </c>
      <c r="H44" s="99">
        <f t="shared" si="1"/>
        <v>2031</v>
      </c>
      <c r="I44" s="99">
        <f t="shared" ref="I44:N46" si="11">H44+1</f>
        <v>2032</v>
      </c>
      <c r="J44" s="99">
        <f t="shared" si="11"/>
        <v>2033</v>
      </c>
      <c r="K44" s="99">
        <f t="shared" si="11"/>
        <v>2034</v>
      </c>
      <c r="L44" s="99">
        <f t="shared" si="11"/>
        <v>2035</v>
      </c>
      <c r="M44" s="99">
        <f t="shared" si="11"/>
        <v>2036</v>
      </c>
      <c r="N44" s="99">
        <f t="shared" si="11"/>
        <v>2037</v>
      </c>
      <c r="O44" s="91">
        <f t="shared" si="3"/>
        <v>0</v>
      </c>
      <c r="P44" s="91">
        <f t="shared" si="4"/>
        <v>0</v>
      </c>
      <c r="Q44" s="91">
        <f t="shared" si="5"/>
        <v>0</v>
      </c>
      <c r="R44" s="91">
        <f t="shared" si="6"/>
        <v>0</v>
      </c>
      <c r="S44" s="91">
        <f t="shared" si="7"/>
        <v>0</v>
      </c>
      <c r="T44" s="91">
        <f t="shared" si="8"/>
        <v>0</v>
      </c>
      <c r="U44" s="91">
        <f t="shared" si="9"/>
        <v>0</v>
      </c>
      <c r="V44" s="120">
        <f>SUM(O44:U44)</f>
        <v>0</v>
      </c>
      <c r="W44" s="120"/>
      <c r="X44" s="120"/>
      <c r="Y44" s="120"/>
      <c r="Z44" s="120"/>
      <c r="AA44" s="64"/>
      <c r="AB44" s="64"/>
      <c r="AC44" s="64"/>
      <c r="AD44" s="64"/>
      <c r="AE44" s="64"/>
      <c r="AF44" s="64"/>
      <c r="AG44" s="64"/>
      <c r="AH44" s="64"/>
      <c r="AI44" s="64"/>
      <c r="AJ44" s="64"/>
      <c r="AK44" s="64"/>
      <c r="AL44" s="64"/>
      <c r="AM44" s="64"/>
      <c r="AN44" s="64"/>
      <c r="AO44" s="64"/>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c r="BR44" s="64"/>
      <c r="BS44" s="64"/>
      <c r="BT44" s="64"/>
      <c r="BU44" s="64"/>
      <c r="BV44" s="64"/>
      <c r="BW44" s="64"/>
      <c r="BX44" s="64"/>
      <c r="BY44" s="64"/>
      <c r="BZ44" s="64"/>
      <c r="CA44" s="64"/>
      <c r="CB44" s="64"/>
      <c r="CC44" s="64"/>
      <c r="CD44" s="64"/>
    </row>
    <row r="45" spans="1:82">
      <c r="A45" s="85" t="s">
        <v>667</v>
      </c>
      <c r="B45" s="91">
        <f>C29</f>
        <v>1</v>
      </c>
      <c r="C45" s="91">
        <f>B45*E$18</f>
        <v>10.333333333333334</v>
      </c>
      <c r="D45" s="91">
        <f>B45*F$18</f>
        <v>12648.596962191777</v>
      </c>
      <c r="E45" s="119">
        <f>MAX($B$8,$B$57-C45-$G$37*C46)</f>
        <v>47825.666666666664</v>
      </c>
      <c r="F45" s="119">
        <f t="shared" si="0"/>
        <v>47836</v>
      </c>
      <c r="G45" s="99">
        <f t="shared" ref="G45:G52" si="12">ROUNDDOWN(MAX(0,IF(F45&lt;$F$75,1,IF(C45=0,0,($F$75-E45)/(F45-E45))))*B45,0)</f>
        <v>1</v>
      </c>
      <c r="H45" s="99">
        <f t="shared" si="1"/>
        <v>2030</v>
      </c>
      <c r="I45" s="99">
        <f t="shared" si="11"/>
        <v>2031</v>
      </c>
      <c r="J45" s="99">
        <f t="shared" si="11"/>
        <v>2032</v>
      </c>
      <c r="K45" s="99">
        <f t="shared" si="11"/>
        <v>2033</v>
      </c>
      <c r="L45" s="99">
        <f t="shared" si="11"/>
        <v>2034</v>
      </c>
      <c r="M45" s="99">
        <f t="shared" si="11"/>
        <v>2035</v>
      </c>
      <c r="N45" s="99">
        <f t="shared" si="11"/>
        <v>2036</v>
      </c>
      <c r="O45" s="91">
        <f t="shared" si="3"/>
        <v>12648.596962191777</v>
      </c>
      <c r="P45" s="91">
        <f t="shared" si="4"/>
        <v>0</v>
      </c>
      <c r="Q45" s="91">
        <f t="shared" si="5"/>
        <v>0</v>
      </c>
      <c r="R45" s="91">
        <f t="shared" si="6"/>
        <v>0</v>
      </c>
      <c r="S45" s="91">
        <f t="shared" si="7"/>
        <v>0</v>
      </c>
      <c r="T45" s="91">
        <f t="shared" si="8"/>
        <v>0</v>
      </c>
      <c r="U45" s="91">
        <f t="shared" si="9"/>
        <v>0</v>
      </c>
      <c r="V45" s="120"/>
      <c r="W45" s="120"/>
      <c r="X45" s="120"/>
      <c r="Y45" s="120"/>
      <c r="Z45" s="120"/>
      <c r="AA45" s="64"/>
      <c r="AB45" s="64"/>
      <c r="AC45" s="64"/>
      <c r="AD45" s="64"/>
      <c r="AE45" s="64"/>
      <c r="AF45" s="64"/>
      <c r="AG45" s="64"/>
      <c r="AH45" s="64"/>
      <c r="AI45" s="64"/>
      <c r="AJ45" s="64"/>
      <c r="AK45" s="64"/>
      <c r="AL45" s="64"/>
      <c r="AM45" s="64"/>
      <c r="AN45" s="64"/>
      <c r="AO45" s="64"/>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c r="BR45" s="64"/>
      <c r="BS45" s="64"/>
      <c r="BT45" s="64"/>
      <c r="BU45" s="64"/>
      <c r="BV45" s="64"/>
      <c r="BW45" s="64"/>
      <c r="BX45" s="64"/>
      <c r="BY45" s="64"/>
      <c r="BZ45" s="64"/>
      <c r="CA45" s="64"/>
      <c r="CB45" s="64"/>
      <c r="CC45" s="64"/>
      <c r="CD45" s="64"/>
    </row>
    <row r="46" spans="1:82">
      <c r="A46" s="85" t="s">
        <v>234</v>
      </c>
      <c r="B46" s="91">
        <f>C28-C29</f>
        <v>6</v>
      </c>
      <c r="C46" s="91">
        <f>B46*(C$22+E$22)</f>
        <v>302</v>
      </c>
      <c r="D46" s="91">
        <f>B46*(D$22+F$22)</f>
        <v>460924.19640986307</v>
      </c>
      <c r="E46" s="119">
        <f>F45</f>
        <v>47836</v>
      </c>
      <c r="F46" s="119">
        <f t="shared" si="0"/>
        <v>48138</v>
      </c>
      <c r="G46" s="99">
        <f t="shared" si="12"/>
        <v>3</v>
      </c>
      <c r="H46" s="99">
        <f t="shared" si="1"/>
        <v>2030</v>
      </c>
      <c r="I46" s="99">
        <f t="shared" si="11"/>
        <v>2031</v>
      </c>
      <c r="J46" s="99">
        <f t="shared" si="11"/>
        <v>2032</v>
      </c>
      <c r="K46" s="99">
        <f t="shared" si="11"/>
        <v>2033</v>
      </c>
      <c r="L46" s="99">
        <f t="shared" si="11"/>
        <v>2034</v>
      </c>
      <c r="M46" s="99">
        <f t="shared" si="11"/>
        <v>2035</v>
      </c>
      <c r="N46" s="99">
        <f t="shared" si="11"/>
        <v>2036</v>
      </c>
      <c r="O46" s="91">
        <f t="shared" si="3"/>
        <v>19841.107792477549</v>
      </c>
      <c r="P46" s="91">
        <f t="shared" si="4"/>
        <v>441083.08861738554</v>
      </c>
      <c r="Q46" s="91">
        <f t="shared" si="5"/>
        <v>0</v>
      </c>
      <c r="R46" s="91">
        <f t="shared" si="6"/>
        <v>0</v>
      </c>
      <c r="S46" s="91">
        <f t="shared" si="7"/>
        <v>0</v>
      </c>
      <c r="T46" s="91">
        <f t="shared" si="8"/>
        <v>0</v>
      </c>
      <c r="U46" s="91">
        <f t="shared" si="9"/>
        <v>0</v>
      </c>
      <c r="V46" s="120"/>
      <c r="W46" s="120"/>
      <c r="X46" s="120"/>
      <c r="Y46" s="120"/>
      <c r="Z46" s="120"/>
      <c r="AA46" s="64"/>
      <c r="AB46" s="64"/>
      <c r="AC46" s="64"/>
      <c r="AD46" s="64"/>
      <c r="AE46" s="64"/>
      <c r="AF46" s="64"/>
      <c r="AG46" s="64"/>
      <c r="AH46" s="64"/>
      <c r="AI46" s="64"/>
      <c r="AJ46" s="64"/>
      <c r="AK46" s="64"/>
      <c r="AL46" s="64"/>
      <c r="AM46" s="64"/>
      <c r="AN46" s="64"/>
      <c r="AO46" s="64"/>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c r="BR46" s="64"/>
      <c r="BS46" s="64"/>
      <c r="BT46" s="64"/>
      <c r="BU46" s="64"/>
      <c r="BV46" s="64"/>
      <c r="BW46" s="64"/>
      <c r="BX46" s="64"/>
      <c r="BY46" s="64"/>
      <c r="BZ46" s="64"/>
      <c r="CA46" s="64"/>
      <c r="CB46" s="64"/>
      <c r="CC46" s="64"/>
      <c r="CD46" s="64"/>
    </row>
    <row r="47" spans="1:82">
      <c r="A47" s="85" t="s">
        <v>668</v>
      </c>
      <c r="B47" s="91">
        <f>D29</f>
        <v>1</v>
      </c>
      <c r="C47" s="91">
        <f>B47*E$18</f>
        <v>10.333333333333334</v>
      </c>
      <c r="D47" s="91">
        <f>B47*F$18</f>
        <v>12648.596962191777</v>
      </c>
      <c r="E47" s="119">
        <f>MAX($B$8,$B$57-C47-$G$37*C48)</f>
        <v>47825.666666666664</v>
      </c>
      <c r="F47" s="119">
        <f t="shared" ref="F47:F52" si="13">E47+C47</f>
        <v>47836</v>
      </c>
      <c r="G47" s="99">
        <f t="shared" si="12"/>
        <v>1</v>
      </c>
      <c r="H47" s="99">
        <f t="shared" ref="H47:H52" si="14">YEAR(E47)</f>
        <v>2030</v>
      </c>
      <c r="I47" s="99">
        <f t="shared" ref="I47:I52" si="15">H47+1</f>
        <v>2031</v>
      </c>
      <c r="J47" s="99">
        <f t="shared" ref="J47:J52" si="16">I47+1</f>
        <v>2032</v>
      </c>
      <c r="K47" s="99">
        <f t="shared" ref="K47:K52" si="17">J47+1</f>
        <v>2033</v>
      </c>
      <c r="L47" s="99">
        <f t="shared" ref="L47:N52" si="18">K47+1</f>
        <v>2034</v>
      </c>
      <c r="M47" s="99">
        <f t="shared" si="18"/>
        <v>2035</v>
      </c>
      <c r="N47" s="99">
        <f t="shared" si="18"/>
        <v>2036</v>
      </c>
      <c r="O47" s="91">
        <f t="shared" si="3"/>
        <v>12648.596962191777</v>
      </c>
      <c r="P47" s="91">
        <f t="shared" si="4"/>
        <v>0</v>
      </c>
      <c r="Q47" s="91">
        <f t="shared" si="5"/>
        <v>0</v>
      </c>
      <c r="R47" s="91">
        <f t="shared" si="6"/>
        <v>0</v>
      </c>
      <c r="S47" s="91">
        <f t="shared" si="7"/>
        <v>0</v>
      </c>
      <c r="T47" s="91">
        <f t="shared" si="8"/>
        <v>0</v>
      </c>
      <c r="U47" s="91">
        <f t="shared" si="9"/>
        <v>0</v>
      </c>
      <c r="V47" s="120"/>
      <c r="W47" s="120"/>
      <c r="X47" s="120"/>
      <c r="Y47" s="120"/>
      <c r="Z47" s="120"/>
      <c r="AA47" s="64"/>
      <c r="AB47" s="64"/>
      <c r="AC47" s="64"/>
      <c r="AD47" s="64"/>
      <c r="AE47" s="64"/>
      <c r="AF47" s="64"/>
      <c r="AG47" s="64"/>
      <c r="AH47" s="64"/>
      <c r="AI47" s="64"/>
      <c r="AJ47" s="64"/>
      <c r="AK47" s="64"/>
      <c r="AL47" s="64"/>
      <c r="AM47" s="64"/>
      <c r="AN47" s="64"/>
      <c r="AO47" s="64"/>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c r="BR47" s="64"/>
      <c r="BS47" s="64"/>
      <c r="BT47" s="64"/>
      <c r="BU47" s="64"/>
      <c r="BV47" s="64"/>
      <c r="BW47" s="64"/>
      <c r="BX47" s="64"/>
      <c r="BY47" s="64"/>
      <c r="BZ47" s="64"/>
      <c r="CA47" s="64"/>
      <c r="CB47" s="64"/>
      <c r="CC47" s="64"/>
      <c r="CD47" s="64"/>
    </row>
    <row r="48" spans="1:82">
      <c r="A48" s="85" t="s">
        <v>234</v>
      </c>
      <c r="B48" s="91">
        <f>D28-D29</f>
        <v>6</v>
      </c>
      <c r="C48" s="91">
        <f>B48*(C$22+E$22)</f>
        <v>302</v>
      </c>
      <c r="D48" s="91">
        <f>B48*(D$22+F$22)</f>
        <v>460924.19640986307</v>
      </c>
      <c r="E48" s="119">
        <f>F47</f>
        <v>47836</v>
      </c>
      <c r="F48" s="119">
        <f t="shared" si="13"/>
        <v>48138</v>
      </c>
      <c r="G48" s="99">
        <f t="shared" si="12"/>
        <v>3</v>
      </c>
      <c r="H48" s="99">
        <f t="shared" si="14"/>
        <v>2030</v>
      </c>
      <c r="I48" s="99">
        <f t="shared" si="15"/>
        <v>2031</v>
      </c>
      <c r="J48" s="99">
        <f t="shared" si="16"/>
        <v>2032</v>
      </c>
      <c r="K48" s="99">
        <f t="shared" si="17"/>
        <v>2033</v>
      </c>
      <c r="L48" s="99">
        <f t="shared" si="18"/>
        <v>2034</v>
      </c>
      <c r="M48" s="99">
        <f t="shared" si="18"/>
        <v>2035</v>
      </c>
      <c r="N48" s="99">
        <f t="shared" si="18"/>
        <v>2036</v>
      </c>
      <c r="O48" s="91">
        <f t="shared" si="3"/>
        <v>19841.107792477549</v>
      </c>
      <c r="P48" s="91">
        <f t="shared" si="4"/>
        <v>441083.08861738554</v>
      </c>
      <c r="Q48" s="91">
        <f t="shared" si="5"/>
        <v>0</v>
      </c>
      <c r="R48" s="91">
        <f t="shared" si="6"/>
        <v>0</v>
      </c>
      <c r="S48" s="91">
        <f t="shared" si="7"/>
        <v>0</v>
      </c>
      <c r="T48" s="91">
        <f t="shared" si="8"/>
        <v>0</v>
      </c>
      <c r="U48" s="91">
        <f t="shared" si="9"/>
        <v>0</v>
      </c>
      <c r="V48" s="120"/>
      <c r="W48" s="120"/>
      <c r="X48" s="120"/>
      <c r="Y48" s="120"/>
      <c r="Z48" s="120"/>
      <c r="AA48" s="64"/>
      <c r="AB48" s="64"/>
      <c r="AC48" s="64"/>
      <c r="AD48" s="64"/>
      <c r="AE48" s="64"/>
      <c r="AF48" s="64"/>
      <c r="AG48" s="64"/>
      <c r="AH48" s="64"/>
      <c r="AI48" s="64"/>
      <c r="AJ48" s="64"/>
      <c r="AK48" s="64"/>
      <c r="AL48" s="64"/>
      <c r="AM48" s="64"/>
      <c r="AN48" s="64"/>
      <c r="AO48" s="64"/>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c r="BR48" s="64"/>
      <c r="BS48" s="64"/>
      <c r="BT48" s="64"/>
      <c r="BU48" s="64"/>
      <c r="BV48" s="64"/>
      <c r="BW48" s="64"/>
      <c r="BX48" s="64"/>
      <c r="BY48" s="64"/>
      <c r="BZ48" s="64"/>
      <c r="CA48" s="64"/>
      <c r="CB48" s="64"/>
      <c r="CC48" s="64"/>
      <c r="CD48" s="64"/>
    </row>
    <row r="49" spans="1:82">
      <c r="A49" s="85" t="s">
        <v>669</v>
      </c>
      <c r="B49" s="91">
        <f>E29</f>
        <v>1</v>
      </c>
      <c r="C49" s="91">
        <f>B49*E$18</f>
        <v>10.333333333333334</v>
      </c>
      <c r="D49" s="91">
        <f>B49*F$18</f>
        <v>12648.596962191777</v>
      </c>
      <c r="E49" s="119">
        <f>MAX($B$8,$B$57-C49-$G$37*C50)</f>
        <v>47825.666666666664</v>
      </c>
      <c r="F49" s="119">
        <f t="shared" si="13"/>
        <v>47836</v>
      </c>
      <c r="G49" s="99">
        <f t="shared" si="12"/>
        <v>1</v>
      </c>
      <c r="H49" s="99">
        <f t="shared" si="14"/>
        <v>2030</v>
      </c>
      <c r="I49" s="99">
        <f t="shared" si="15"/>
        <v>2031</v>
      </c>
      <c r="J49" s="99">
        <f t="shared" si="16"/>
        <v>2032</v>
      </c>
      <c r="K49" s="99">
        <f t="shared" si="17"/>
        <v>2033</v>
      </c>
      <c r="L49" s="99">
        <f t="shared" si="18"/>
        <v>2034</v>
      </c>
      <c r="M49" s="99">
        <f t="shared" si="18"/>
        <v>2035</v>
      </c>
      <c r="N49" s="99">
        <f t="shared" si="18"/>
        <v>2036</v>
      </c>
      <c r="O49" s="91">
        <f t="shared" si="3"/>
        <v>12648.596962191777</v>
      </c>
      <c r="P49" s="91">
        <f t="shared" si="4"/>
        <v>0</v>
      </c>
      <c r="Q49" s="91">
        <f t="shared" si="5"/>
        <v>0</v>
      </c>
      <c r="R49" s="91">
        <f t="shared" si="6"/>
        <v>0</v>
      </c>
      <c r="S49" s="91">
        <f t="shared" si="7"/>
        <v>0</v>
      </c>
      <c r="T49" s="91">
        <f t="shared" si="8"/>
        <v>0</v>
      </c>
      <c r="U49" s="91">
        <f t="shared" si="9"/>
        <v>0</v>
      </c>
      <c r="V49" s="120"/>
      <c r="W49" s="120"/>
      <c r="X49" s="120"/>
      <c r="Y49" s="120"/>
      <c r="Z49" s="120"/>
      <c r="AA49" s="64"/>
      <c r="AB49" s="64"/>
      <c r="AC49" s="64"/>
      <c r="AD49" s="64"/>
      <c r="AE49" s="64"/>
      <c r="AF49" s="64"/>
      <c r="AG49" s="64"/>
      <c r="AH49" s="64"/>
      <c r="AI49" s="64"/>
      <c r="AJ49" s="64"/>
      <c r="AK49" s="64"/>
      <c r="AL49" s="64"/>
      <c r="AM49" s="64"/>
      <c r="AN49" s="64"/>
      <c r="AO49" s="64"/>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c r="BR49" s="64"/>
      <c r="BS49" s="64"/>
      <c r="BT49" s="64"/>
      <c r="BU49" s="64"/>
      <c r="BV49" s="64"/>
      <c r="BW49" s="64"/>
      <c r="BX49" s="64"/>
      <c r="BY49" s="64"/>
      <c r="BZ49" s="64"/>
      <c r="CA49" s="64"/>
      <c r="CB49" s="64"/>
      <c r="CC49" s="64"/>
      <c r="CD49" s="64"/>
    </row>
    <row r="50" spans="1:82">
      <c r="A50" s="85" t="s">
        <v>234</v>
      </c>
      <c r="B50" s="91">
        <f>E28-E29</f>
        <v>6</v>
      </c>
      <c r="C50" s="91">
        <f>B50*(C$22+E$22)</f>
        <v>302</v>
      </c>
      <c r="D50" s="91">
        <f>B50*(D$22+F$22)</f>
        <v>460924.19640986307</v>
      </c>
      <c r="E50" s="119">
        <f>F49</f>
        <v>47836</v>
      </c>
      <c r="F50" s="119">
        <f t="shared" si="13"/>
        <v>48138</v>
      </c>
      <c r="G50" s="99">
        <f t="shared" si="12"/>
        <v>3</v>
      </c>
      <c r="H50" s="99">
        <f t="shared" si="14"/>
        <v>2030</v>
      </c>
      <c r="I50" s="99">
        <f t="shared" si="15"/>
        <v>2031</v>
      </c>
      <c r="J50" s="99">
        <f t="shared" si="16"/>
        <v>2032</v>
      </c>
      <c r="K50" s="99">
        <f t="shared" si="17"/>
        <v>2033</v>
      </c>
      <c r="L50" s="99">
        <f t="shared" si="18"/>
        <v>2034</v>
      </c>
      <c r="M50" s="99">
        <f t="shared" si="18"/>
        <v>2035</v>
      </c>
      <c r="N50" s="99">
        <f t="shared" si="18"/>
        <v>2036</v>
      </c>
      <c r="O50" s="91">
        <f t="shared" si="3"/>
        <v>19841.107792477549</v>
      </c>
      <c r="P50" s="91">
        <f t="shared" si="4"/>
        <v>441083.08861738554</v>
      </c>
      <c r="Q50" s="91">
        <f t="shared" si="5"/>
        <v>0</v>
      </c>
      <c r="R50" s="91">
        <f t="shared" si="6"/>
        <v>0</v>
      </c>
      <c r="S50" s="91">
        <f t="shared" si="7"/>
        <v>0</v>
      </c>
      <c r="T50" s="91">
        <f t="shared" si="8"/>
        <v>0</v>
      </c>
      <c r="U50" s="91">
        <f t="shared" si="9"/>
        <v>0</v>
      </c>
      <c r="V50" s="120"/>
      <c r="W50" s="120"/>
      <c r="X50" s="120"/>
      <c r="Y50" s="120"/>
      <c r="Z50" s="120"/>
      <c r="AA50" s="64"/>
      <c r="AB50" s="64"/>
      <c r="AC50" s="64"/>
      <c r="AD50" s="64"/>
      <c r="AE50" s="64"/>
      <c r="AF50" s="64"/>
      <c r="AG50" s="64"/>
      <c r="AH50" s="64"/>
      <c r="AI50" s="64"/>
      <c r="AJ50" s="64"/>
      <c r="AK50" s="64"/>
      <c r="AL50" s="64"/>
      <c r="AM50" s="64"/>
      <c r="AN50" s="64"/>
      <c r="AO50" s="64"/>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c r="BR50" s="64"/>
      <c r="BS50" s="64"/>
      <c r="BT50" s="64"/>
      <c r="BU50" s="64"/>
      <c r="BV50" s="64"/>
      <c r="BW50" s="64"/>
      <c r="BX50" s="64"/>
      <c r="BY50" s="64"/>
      <c r="BZ50" s="64"/>
      <c r="CA50" s="64"/>
      <c r="CB50" s="64"/>
      <c r="CC50" s="64"/>
      <c r="CD50" s="64"/>
    </row>
    <row r="51" spans="1:82">
      <c r="A51" s="85" t="s">
        <v>670</v>
      </c>
      <c r="B51" s="91">
        <f>F29</f>
        <v>0</v>
      </c>
      <c r="C51" s="91">
        <f>B51*E$18</f>
        <v>0</v>
      </c>
      <c r="D51" s="91">
        <f>B51*F$18</f>
        <v>0</v>
      </c>
      <c r="E51" s="119">
        <f>MAX($B$8,$B$57-C51-$G$37*C52)</f>
        <v>47987</v>
      </c>
      <c r="F51" s="119">
        <f t="shared" si="13"/>
        <v>47987</v>
      </c>
      <c r="G51" s="99">
        <f t="shared" si="12"/>
        <v>0</v>
      </c>
      <c r="H51" s="99">
        <f t="shared" si="14"/>
        <v>2031</v>
      </c>
      <c r="I51" s="99">
        <f t="shared" si="15"/>
        <v>2032</v>
      </c>
      <c r="J51" s="99">
        <f t="shared" si="16"/>
        <v>2033</v>
      </c>
      <c r="K51" s="99">
        <f t="shared" si="17"/>
        <v>2034</v>
      </c>
      <c r="L51" s="99">
        <f t="shared" si="18"/>
        <v>2035</v>
      </c>
      <c r="M51" s="99">
        <f t="shared" si="18"/>
        <v>2036</v>
      </c>
      <c r="N51" s="99">
        <f t="shared" si="18"/>
        <v>2037</v>
      </c>
      <c r="O51" s="91">
        <f t="shared" si="3"/>
        <v>0</v>
      </c>
      <c r="P51" s="91">
        <f t="shared" si="4"/>
        <v>0</v>
      </c>
      <c r="Q51" s="91">
        <f t="shared" si="5"/>
        <v>0</v>
      </c>
      <c r="R51" s="91">
        <f t="shared" si="6"/>
        <v>0</v>
      </c>
      <c r="S51" s="91">
        <f t="shared" si="7"/>
        <v>0</v>
      </c>
      <c r="T51" s="91">
        <f t="shared" si="8"/>
        <v>0</v>
      </c>
      <c r="U51" s="91">
        <f t="shared" si="9"/>
        <v>0</v>
      </c>
      <c r="V51" s="120"/>
      <c r="W51" s="120"/>
      <c r="X51" s="120"/>
      <c r="Y51" s="120"/>
      <c r="Z51" s="120"/>
      <c r="AA51" s="64"/>
      <c r="AB51" s="64"/>
      <c r="AC51" s="64"/>
      <c r="AD51" s="64"/>
      <c r="AE51" s="64"/>
      <c r="AF51" s="64"/>
      <c r="AG51" s="64"/>
      <c r="AH51" s="64"/>
      <c r="AI51" s="64"/>
      <c r="AJ51" s="64"/>
      <c r="AK51" s="64"/>
      <c r="AL51" s="64"/>
      <c r="AM51" s="64"/>
      <c r="AN51" s="64"/>
      <c r="AO51" s="64"/>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c r="BR51" s="64"/>
      <c r="BS51" s="64"/>
      <c r="BT51" s="64"/>
      <c r="BU51" s="64"/>
      <c r="BV51" s="64"/>
      <c r="BW51" s="64"/>
      <c r="BX51" s="64"/>
      <c r="BY51" s="64"/>
      <c r="BZ51" s="64"/>
      <c r="CA51" s="64"/>
      <c r="CB51" s="64"/>
      <c r="CC51" s="64"/>
      <c r="CD51" s="64"/>
    </row>
    <row r="52" spans="1:82">
      <c r="A52" s="85" t="s">
        <v>234</v>
      </c>
      <c r="B52" s="91">
        <f>F28-F29</f>
        <v>0</v>
      </c>
      <c r="C52" s="91">
        <f>B52*(C$22+E$22)</f>
        <v>0</v>
      </c>
      <c r="D52" s="91">
        <f>B52*(D$22+F$22)</f>
        <v>0</v>
      </c>
      <c r="E52" s="119">
        <f>F51</f>
        <v>47987</v>
      </c>
      <c r="F52" s="119">
        <f t="shared" si="13"/>
        <v>47987</v>
      </c>
      <c r="G52" s="99">
        <f t="shared" si="12"/>
        <v>0</v>
      </c>
      <c r="H52" s="99">
        <f t="shared" si="14"/>
        <v>2031</v>
      </c>
      <c r="I52" s="99">
        <f t="shared" si="15"/>
        <v>2032</v>
      </c>
      <c r="J52" s="99">
        <f t="shared" si="16"/>
        <v>2033</v>
      </c>
      <c r="K52" s="99">
        <f t="shared" si="17"/>
        <v>2034</v>
      </c>
      <c r="L52" s="99">
        <f t="shared" si="18"/>
        <v>2035</v>
      </c>
      <c r="M52" s="99">
        <f t="shared" si="18"/>
        <v>2036</v>
      </c>
      <c r="N52" s="99">
        <f t="shared" si="18"/>
        <v>2037</v>
      </c>
      <c r="O52" s="91">
        <f t="shared" si="3"/>
        <v>0</v>
      </c>
      <c r="P52" s="91">
        <f t="shared" si="4"/>
        <v>0</v>
      </c>
      <c r="Q52" s="91">
        <f t="shared" si="5"/>
        <v>0</v>
      </c>
      <c r="R52" s="91">
        <f t="shared" si="6"/>
        <v>0</v>
      </c>
      <c r="S52" s="91">
        <f t="shared" si="7"/>
        <v>0</v>
      </c>
      <c r="T52" s="91">
        <f t="shared" si="8"/>
        <v>0</v>
      </c>
      <c r="U52" s="91">
        <f t="shared" si="9"/>
        <v>0</v>
      </c>
      <c r="V52" s="120"/>
      <c r="W52" s="120"/>
      <c r="X52" s="120"/>
      <c r="Y52" s="120"/>
      <c r="Z52" s="120"/>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c r="BR52" s="64"/>
      <c r="BS52" s="64"/>
      <c r="BT52" s="64"/>
      <c r="BU52" s="64"/>
      <c r="BV52" s="64"/>
      <c r="BW52" s="64"/>
      <c r="BX52" s="64"/>
      <c r="BY52" s="64"/>
      <c r="BZ52" s="64"/>
      <c r="CA52" s="64"/>
      <c r="CB52" s="64"/>
      <c r="CC52" s="64"/>
      <c r="CD52" s="64"/>
    </row>
    <row r="53" spans="1:82">
      <c r="A53" s="85" t="s">
        <v>678</v>
      </c>
      <c r="B53" s="91">
        <f>G29</f>
        <v>0</v>
      </c>
      <c r="C53" s="91">
        <f>B53*E$18</f>
        <v>0</v>
      </c>
      <c r="D53" s="91">
        <f>B53*F$18</f>
        <v>0</v>
      </c>
      <c r="E53" s="119">
        <f>MAX($B$8,$B$57-C53-$G$37*C54)</f>
        <v>47987</v>
      </c>
      <c r="F53" s="119">
        <f>E53+C53</f>
        <v>47987</v>
      </c>
      <c r="G53" s="99">
        <f>ROUNDDOWN(MAX(0,IF(F53&lt;$F$75,1,IF(C53=0,0,($F$75-E53)/(F53-E53))))*B53,0)</f>
        <v>0</v>
      </c>
      <c r="H53" s="99">
        <f>YEAR(E53)</f>
        <v>2031</v>
      </c>
      <c r="I53" s="99">
        <f t="shared" ref="I53:N54" si="19">H53+1</f>
        <v>2032</v>
      </c>
      <c r="J53" s="99">
        <f t="shared" si="19"/>
        <v>2033</v>
      </c>
      <c r="K53" s="99">
        <f t="shared" si="19"/>
        <v>2034</v>
      </c>
      <c r="L53" s="99">
        <f t="shared" si="19"/>
        <v>2035</v>
      </c>
      <c r="M53" s="99">
        <f t="shared" si="19"/>
        <v>2036</v>
      </c>
      <c r="N53" s="99">
        <f t="shared" si="19"/>
        <v>2037</v>
      </c>
      <c r="O53" s="91">
        <f t="shared" ref="O53:U54" si="20">IF(YEAR($E53)&gt;H53,0,IF(YEAR($E53)&lt;H53,IF(YEAR($F53)=H53,($F53-DATE(H53,1,1))/$C53*$D53,IF(YEAR($F53)&lt;H53,0,(DATE(H53+1,1,1)-DATE(H53,1,1))/$C53*$D53)),IF(YEAR($E53)=H53,IF(YEAR($F53)=H53,$D53,(DATE(H53+1,1,1)-$E53)/$C53*$D53))))</f>
        <v>0</v>
      </c>
      <c r="P53" s="91">
        <f t="shared" si="20"/>
        <v>0</v>
      </c>
      <c r="Q53" s="91">
        <f t="shared" si="20"/>
        <v>0</v>
      </c>
      <c r="R53" s="91">
        <f t="shared" si="20"/>
        <v>0</v>
      </c>
      <c r="S53" s="91">
        <f t="shared" si="20"/>
        <v>0</v>
      </c>
      <c r="T53" s="91">
        <f t="shared" si="20"/>
        <v>0</v>
      </c>
      <c r="U53" s="91">
        <f t="shared" si="20"/>
        <v>0</v>
      </c>
      <c r="V53" s="120"/>
      <c r="W53" s="120"/>
      <c r="X53" s="120"/>
      <c r="Y53" s="120"/>
      <c r="Z53" s="120"/>
      <c r="AA53" s="64"/>
      <c r="AB53" s="64"/>
      <c r="AC53" s="64"/>
      <c r="AD53" s="64"/>
      <c r="AE53" s="64"/>
      <c r="AF53" s="64"/>
      <c r="AG53" s="64"/>
      <c r="AH53" s="64"/>
      <c r="AI53" s="64"/>
      <c r="AJ53" s="64"/>
      <c r="AK53" s="64"/>
      <c r="AL53" s="64"/>
      <c r="AM53" s="64"/>
      <c r="AN53" s="64"/>
      <c r="AO53" s="64"/>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c r="BR53" s="64"/>
      <c r="BS53" s="64"/>
      <c r="BT53" s="64"/>
      <c r="BU53" s="64"/>
      <c r="BV53" s="64"/>
      <c r="BW53" s="64"/>
      <c r="BX53" s="64"/>
      <c r="BY53" s="64"/>
      <c r="BZ53" s="64"/>
      <c r="CA53" s="64"/>
      <c r="CB53" s="64"/>
      <c r="CC53" s="64"/>
      <c r="CD53" s="64"/>
    </row>
    <row r="54" spans="1:82">
      <c r="A54" s="85" t="s">
        <v>234</v>
      </c>
      <c r="B54" s="91">
        <f>G28</f>
        <v>0</v>
      </c>
      <c r="C54" s="91">
        <f>B54*(C$22+E$22)</f>
        <v>0</v>
      </c>
      <c r="D54" s="91">
        <f>B54*(D$22+F$22)</f>
        <v>0</v>
      </c>
      <c r="E54" s="119">
        <f>F53</f>
        <v>47987</v>
      </c>
      <c r="F54" s="119">
        <f>E54+C54</f>
        <v>47987</v>
      </c>
      <c r="G54" s="99">
        <f>ROUNDDOWN(MAX(0,IF(F54&lt;$F$75,1,IF(C54=0,0,($F$75-E54)/(F54-E54))))*B54,0)</f>
        <v>0</v>
      </c>
      <c r="H54" s="99">
        <f>YEAR(E54)</f>
        <v>2031</v>
      </c>
      <c r="I54" s="99">
        <f t="shared" si="19"/>
        <v>2032</v>
      </c>
      <c r="J54" s="99">
        <f t="shared" si="19"/>
        <v>2033</v>
      </c>
      <c r="K54" s="99">
        <f t="shared" si="19"/>
        <v>2034</v>
      </c>
      <c r="L54" s="99">
        <f t="shared" si="19"/>
        <v>2035</v>
      </c>
      <c r="M54" s="99">
        <f t="shared" si="19"/>
        <v>2036</v>
      </c>
      <c r="N54" s="99">
        <f t="shared" si="19"/>
        <v>2037</v>
      </c>
      <c r="O54" s="91">
        <f t="shared" si="20"/>
        <v>0</v>
      </c>
      <c r="P54" s="91">
        <f t="shared" si="20"/>
        <v>0</v>
      </c>
      <c r="Q54" s="91">
        <f t="shared" si="20"/>
        <v>0</v>
      </c>
      <c r="R54" s="91">
        <f t="shared" si="20"/>
        <v>0</v>
      </c>
      <c r="S54" s="91">
        <f t="shared" si="20"/>
        <v>0</v>
      </c>
      <c r="T54" s="91">
        <f t="shared" si="20"/>
        <v>0</v>
      </c>
      <c r="U54" s="91">
        <f t="shared" si="20"/>
        <v>0</v>
      </c>
      <c r="V54" s="120"/>
      <c r="W54" s="120"/>
      <c r="X54" s="120"/>
      <c r="Y54" s="120"/>
      <c r="Z54" s="120"/>
      <c r="AA54" s="64"/>
      <c r="AB54" s="64"/>
      <c r="AC54" s="64"/>
      <c r="AD54" s="64"/>
      <c r="AE54" s="64"/>
      <c r="AF54" s="64"/>
      <c r="AG54" s="64"/>
      <c r="AH54" s="64"/>
      <c r="AI54" s="64"/>
      <c r="AJ54" s="64"/>
      <c r="AK54" s="64"/>
      <c r="AL54" s="64"/>
      <c r="AM54" s="64"/>
      <c r="AN54" s="64"/>
      <c r="AO54" s="64"/>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c r="BR54" s="64"/>
      <c r="BS54" s="64"/>
      <c r="BT54" s="64"/>
      <c r="BU54" s="64"/>
      <c r="BV54" s="64"/>
      <c r="BW54" s="64"/>
      <c r="BX54" s="64"/>
      <c r="BY54" s="64"/>
      <c r="BZ54" s="64"/>
      <c r="CA54" s="64"/>
      <c r="CB54" s="64"/>
      <c r="CC54" s="64"/>
      <c r="CD54" s="64"/>
    </row>
    <row r="55" spans="1:82">
      <c r="A55" s="85" t="s">
        <v>13</v>
      </c>
      <c r="B55" s="91"/>
      <c r="C55" s="91">
        <f>SUM(C40:C54)</f>
        <v>937</v>
      </c>
      <c r="D55" s="91">
        <f>SUM(D40:D54)</f>
        <v>1420718.3801161647</v>
      </c>
      <c r="E55" s="85"/>
      <c r="F55" s="85"/>
      <c r="G55" s="101">
        <f>SUM(G40:G54)</f>
        <v>12</v>
      </c>
      <c r="H55" s="121"/>
      <c r="I55" s="121"/>
      <c r="J55" s="121"/>
      <c r="K55" s="64"/>
      <c r="L55" s="64"/>
      <c r="M55" s="64"/>
      <c r="N55" s="64"/>
      <c r="O55" s="64"/>
      <c r="P55" s="64"/>
      <c r="Q55" s="64"/>
      <c r="R55" s="64"/>
      <c r="S55" s="64"/>
      <c r="T55" s="64"/>
      <c r="U55" s="64"/>
      <c r="V55" s="64"/>
      <c r="W55" s="64"/>
      <c r="X55" s="64"/>
      <c r="Y55" s="64"/>
      <c r="Z55" s="64"/>
      <c r="AA55" s="64"/>
      <c r="AB55" s="64"/>
      <c r="AC55" s="64"/>
      <c r="AD55" s="64"/>
      <c r="AE55" s="64"/>
      <c r="AF55" s="64"/>
      <c r="AG55" s="64"/>
      <c r="AH55" s="64"/>
      <c r="AI55" s="64"/>
      <c r="AJ55" s="64"/>
      <c r="AK55" s="64"/>
      <c r="AL55" s="64"/>
      <c r="AM55" s="64"/>
      <c r="AN55" s="64"/>
      <c r="AO55" s="64"/>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c r="BR55" s="64"/>
      <c r="BS55" s="64"/>
      <c r="BT55" s="64"/>
      <c r="BU55" s="64"/>
      <c r="BV55" s="64"/>
      <c r="BW55" s="64"/>
      <c r="BX55" s="64"/>
      <c r="BY55" s="64"/>
      <c r="BZ55" s="64"/>
      <c r="CA55" s="64"/>
      <c r="CB55" s="64"/>
      <c r="CC55" s="64"/>
      <c r="CD55" s="64"/>
    </row>
    <row r="56" spans="1:82">
      <c r="A56" s="64"/>
      <c r="B56" s="64"/>
      <c r="C56" s="122"/>
      <c r="D56" s="64"/>
      <c r="E56" s="64"/>
      <c r="F56" s="64"/>
      <c r="G56" s="64"/>
      <c r="H56" s="121"/>
      <c r="I56" s="121"/>
      <c r="J56" s="64"/>
      <c r="K56" s="64"/>
      <c r="L56" s="121"/>
      <c r="M56" s="64"/>
      <c r="N56" s="64"/>
      <c r="O56" s="64"/>
      <c r="P56" s="64"/>
      <c r="Q56" s="64"/>
      <c r="R56" s="64"/>
      <c r="S56" s="64"/>
      <c r="T56" s="64"/>
      <c r="U56" s="64"/>
      <c r="V56" s="64"/>
      <c r="W56" s="64"/>
      <c r="X56" s="64"/>
      <c r="Y56" s="64"/>
      <c r="Z56" s="64"/>
      <c r="AA56" s="64"/>
      <c r="AB56" s="64"/>
      <c r="AC56" s="64"/>
      <c r="AD56" s="64"/>
      <c r="AE56" s="64"/>
      <c r="AF56" s="64"/>
      <c r="AG56" s="64"/>
      <c r="AH56" s="64"/>
      <c r="AI56" s="64"/>
      <c r="AJ56" s="64"/>
      <c r="AK56" s="64"/>
      <c r="AL56" s="64"/>
      <c r="AM56" s="64"/>
      <c r="AN56" s="64"/>
      <c r="AO56" s="64"/>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c r="BR56" s="64"/>
      <c r="BS56" s="64"/>
      <c r="BT56" s="64"/>
      <c r="BU56" s="64"/>
      <c r="BV56" s="64"/>
      <c r="BW56" s="64"/>
      <c r="BX56" s="64"/>
      <c r="BY56" s="64"/>
      <c r="BZ56" s="64"/>
      <c r="CA56" s="64"/>
      <c r="CB56" s="64"/>
      <c r="CC56" s="64"/>
      <c r="CD56" s="64"/>
    </row>
    <row r="57" spans="1:82">
      <c r="A57" s="123" t="s">
        <v>253</v>
      </c>
      <c r="B57" s="124">
        <f>F42</f>
        <v>47987</v>
      </c>
      <c r="C57" s="122"/>
      <c r="D57" s="64"/>
      <c r="E57" s="64"/>
      <c r="F57" s="64"/>
      <c r="G57" s="64"/>
      <c r="H57" s="121"/>
      <c r="I57" s="121"/>
      <c r="J57" s="64"/>
      <c r="K57" s="64"/>
      <c r="L57" s="64"/>
      <c r="M57" s="64"/>
      <c r="N57" s="64"/>
      <c r="O57" s="64" t="s">
        <v>857</v>
      </c>
      <c r="P57" s="64"/>
      <c r="Q57" s="64"/>
      <c r="R57" s="64"/>
      <c r="S57" s="64"/>
      <c r="T57" s="64"/>
      <c r="U57" s="64"/>
      <c r="V57" s="64"/>
      <c r="W57" s="64"/>
      <c r="X57" s="64"/>
      <c r="Y57" s="64"/>
      <c r="Z57" s="64"/>
      <c r="AA57" s="64"/>
      <c r="AB57" s="64"/>
      <c r="AC57" s="64"/>
      <c r="AD57" s="64"/>
      <c r="AE57" s="64"/>
      <c r="AF57" s="64"/>
      <c r="AG57" s="64"/>
      <c r="AH57" s="64"/>
      <c r="AI57" s="64"/>
      <c r="AJ57" s="64"/>
      <c r="AK57" s="64"/>
      <c r="AL57" s="64"/>
      <c r="AM57" s="64"/>
      <c r="AN57" s="64"/>
      <c r="AO57" s="64"/>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c r="BR57" s="64"/>
      <c r="BS57" s="64"/>
      <c r="BT57" s="64"/>
      <c r="BU57" s="64"/>
      <c r="BV57" s="64"/>
      <c r="BW57" s="64"/>
      <c r="BX57" s="64"/>
      <c r="BY57" s="64"/>
      <c r="BZ57" s="64"/>
      <c r="CA57" s="64"/>
      <c r="CB57" s="64"/>
      <c r="CC57" s="64"/>
      <c r="CD57" s="64"/>
    </row>
    <row r="58" spans="1:82">
      <c r="A58" s="123" t="s">
        <v>254</v>
      </c>
      <c r="B58" s="125">
        <f>G55</f>
        <v>12</v>
      </c>
      <c r="C58" s="122"/>
      <c r="D58" s="64"/>
      <c r="E58" s="64"/>
      <c r="F58" s="64"/>
      <c r="G58" s="64"/>
      <c r="H58" s="121"/>
      <c r="I58" s="121"/>
      <c r="J58" s="64"/>
      <c r="K58" s="64"/>
      <c r="L58" s="64"/>
      <c r="M58" s="64"/>
      <c r="N58" s="85" t="s">
        <v>445</v>
      </c>
      <c r="O58" s="85">
        <v>80</v>
      </c>
      <c r="P58" s="85">
        <v>160</v>
      </c>
      <c r="Q58" s="85">
        <v>1000</v>
      </c>
      <c r="R58" s="64"/>
      <c r="S58" s="64"/>
      <c r="T58" s="64"/>
      <c r="U58" s="64"/>
      <c r="V58" s="64"/>
      <c r="W58" s="64"/>
      <c r="X58" s="64"/>
      <c r="Y58" s="64"/>
      <c r="Z58" s="64"/>
      <c r="AA58" s="64"/>
      <c r="AB58" s="64"/>
      <c r="AC58" s="64"/>
      <c r="AD58" s="64"/>
      <c r="AE58" s="64"/>
      <c r="AF58" s="64"/>
      <c r="AG58" s="64"/>
      <c r="AH58" s="64"/>
      <c r="AI58" s="64"/>
      <c r="AJ58" s="64"/>
      <c r="AK58" s="64"/>
      <c r="AL58" s="64"/>
      <c r="AM58" s="64"/>
      <c r="AN58" s="64"/>
      <c r="AO58" s="64"/>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c r="BR58" s="64"/>
      <c r="BS58" s="64"/>
      <c r="BT58" s="64"/>
      <c r="BU58" s="64"/>
      <c r="BV58" s="64"/>
      <c r="BW58" s="64"/>
      <c r="BX58" s="64"/>
      <c r="BY58" s="64"/>
      <c r="BZ58" s="64"/>
      <c r="CA58" s="64"/>
      <c r="CB58" s="64"/>
      <c r="CC58" s="64"/>
      <c r="CD58" s="64"/>
    </row>
    <row r="59" spans="1:82">
      <c r="A59" s="123" t="s">
        <v>255</v>
      </c>
      <c r="B59" s="124">
        <f>MAX(F41:F54)</f>
        <v>48138</v>
      </c>
      <c r="C59" s="122"/>
      <c r="D59" s="64"/>
      <c r="E59" s="64"/>
      <c r="F59" s="64"/>
      <c r="G59" s="64"/>
      <c r="H59" s="126" t="s">
        <v>702</v>
      </c>
      <c r="I59" s="95"/>
      <c r="J59" s="91">
        <f>IF(Input!B16=Subsea,0,IF(Input!B16=Fixed_Platform,'Cost Assumptions'!O54,IF(Input!B16=Jack_up,'Cost Assumptions'!O58,IF(Input!B16=FPSU,'Cost Assumptions'!O77,IF(Input!B16=Tethered___Semi,'Cost Assumptions'!O64+'Cost Assumptions'!O65*IF(Input!B13="Oil",Input!B14,Production!B10),IF(Input!B16=Lists!O39,'Cost Assumptions'!O61,0))))))</f>
        <v>609408</v>
      </c>
      <c r="K59" s="64"/>
      <c r="L59" s="64"/>
      <c r="M59" s="64"/>
      <c r="N59" s="85">
        <v>0</v>
      </c>
      <c r="O59" s="99">
        <v>16</v>
      </c>
      <c r="P59" s="99">
        <v>18</v>
      </c>
      <c r="Q59" s="99">
        <v>18</v>
      </c>
      <c r="R59" s="64"/>
      <c r="S59" s="64"/>
      <c r="T59" s="64"/>
      <c r="U59" s="64"/>
      <c r="V59" s="64"/>
      <c r="W59" s="64"/>
      <c r="X59" s="64"/>
      <c r="Y59" s="64"/>
      <c r="Z59" s="64"/>
      <c r="AA59" s="64"/>
      <c r="AB59" s="64"/>
      <c r="AC59" s="64"/>
      <c r="AD59" s="64"/>
      <c r="AE59" s="64"/>
      <c r="AF59" s="64"/>
      <c r="AG59" s="64"/>
      <c r="AH59" s="64"/>
      <c r="AI59" s="64"/>
      <c r="AJ59" s="64"/>
      <c r="AK59" s="64"/>
      <c r="AL59" s="64"/>
      <c r="AM59" s="64"/>
      <c r="AN59" s="64"/>
      <c r="AO59" s="64"/>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c r="BR59" s="64"/>
      <c r="BS59" s="64"/>
      <c r="BT59" s="64"/>
      <c r="BU59" s="64"/>
      <c r="BV59" s="64"/>
      <c r="BW59" s="64"/>
      <c r="BX59" s="64"/>
      <c r="BY59" s="64"/>
      <c r="BZ59" s="64"/>
      <c r="CA59" s="64"/>
      <c r="CB59" s="64"/>
      <c r="CC59" s="64"/>
      <c r="CD59" s="64"/>
    </row>
    <row r="60" spans="1:82">
      <c r="A60" s="64"/>
      <c r="B60" s="64"/>
      <c r="C60" s="122"/>
      <c r="D60" s="64"/>
      <c r="E60" s="64"/>
      <c r="F60" s="64"/>
      <c r="G60" s="64"/>
      <c r="H60" s="87" t="s">
        <v>703</v>
      </c>
      <c r="I60" s="95"/>
      <c r="J60" s="91">
        <f>IF(Input!B16=Subsea,0,IF(Input!B16=Fixed_Platform,'Cost Assumptions'!O55,IF(Input!B16=Jack_up,0,IF(Input!B16=FPSU,'Cost Assumptions'!O78,IF(Input!B16=Tethered___Semi,'Cost Assumptions'!O66,IF(Input!B16=Lists!O39,'Cost Assumptions'!O62,0))))))</f>
        <v>114.26399999999997</v>
      </c>
      <c r="K60" s="64"/>
      <c r="L60" s="64"/>
      <c r="M60" s="113" t="s">
        <v>856</v>
      </c>
      <c r="N60" s="99">
        <v>200</v>
      </c>
      <c r="O60" s="99">
        <v>16</v>
      </c>
      <c r="P60" s="99">
        <v>18</v>
      </c>
      <c r="Q60" s="99">
        <v>18</v>
      </c>
      <c r="R60" s="64"/>
      <c r="S60" s="64"/>
      <c r="T60" s="64"/>
      <c r="U60" s="64"/>
      <c r="V60" s="64"/>
      <c r="W60" s="64"/>
      <c r="X60" s="64"/>
      <c r="Y60" s="64"/>
      <c r="Z60" s="64"/>
      <c r="AA60" s="64"/>
      <c r="AB60" s="64"/>
      <c r="AC60" s="64"/>
      <c r="AD60" s="64"/>
      <c r="AE60" s="64"/>
      <c r="AF60" s="64"/>
      <c r="AG60" s="64"/>
      <c r="AH60" s="64"/>
      <c r="AI60" s="64"/>
      <c r="AJ60" s="64"/>
      <c r="AK60" s="64"/>
      <c r="AL60" s="64"/>
      <c r="AM60" s="64"/>
      <c r="AN60" s="64"/>
      <c r="AO60" s="64"/>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c r="BR60" s="64"/>
      <c r="BS60" s="64"/>
      <c r="BT60" s="64"/>
      <c r="BU60" s="64"/>
      <c r="BV60" s="64"/>
      <c r="BW60" s="64"/>
      <c r="BX60" s="64"/>
      <c r="BY60" s="64"/>
      <c r="BZ60" s="64"/>
      <c r="CA60" s="64"/>
      <c r="CB60" s="64"/>
      <c r="CC60" s="64"/>
      <c r="CD60" s="64"/>
    </row>
    <row r="61" spans="1:82">
      <c r="A61" s="127" t="s">
        <v>256</v>
      </c>
      <c r="B61" s="104" t="s">
        <v>257</v>
      </c>
      <c r="C61" s="104" t="s">
        <v>258</v>
      </c>
      <c r="D61" s="64"/>
      <c r="E61" s="64"/>
      <c r="F61" s="64"/>
      <c r="G61" s="64"/>
      <c r="H61" s="87" t="s">
        <v>700</v>
      </c>
      <c r="I61" s="95"/>
      <c r="J61" s="91">
        <f>IF(Input!B16=Subsea,0,IF(Input!B16=Fixed_Platform,'Cost Assumptions'!O56,IF(Input!B16=Jack_up,'Cost Assumptions'!O59,IF(Input!B16=FPSU,'Cost Assumptions'!O79,IF(Input!B16=Tethered___Semi,'Cost Assumptions'!O67,0)))))</f>
        <v>452485.43999999989</v>
      </c>
      <c r="K61" s="64"/>
      <c r="L61" s="64"/>
      <c r="M61" s="64"/>
      <c r="N61" s="99">
        <v>400</v>
      </c>
      <c r="O61" s="99">
        <v>18</v>
      </c>
      <c r="P61" s="99">
        <v>20</v>
      </c>
      <c r="Q61" s="99">
        <v>20</v>
      </c>
      <c r="R61" s="64"/>
      <c r="S61" s="64"/>
      <c r="T61" s="64"/>
      <c r="U61" s="64"/>
      <c r="V61" s="64"/>
      <c r="W61" s="64"/>
      <c r="X61" s="64"/>
      <c r="Y61" s="64"/>
      <c r="Z61" s="64"/>
      <c r="AA61" s="64"/>
      <c r="AB61" s="64"/>
      <c r="AC61" s="64"/>
      <c r="AD61" s="64"/>
      <c r="AE61" s="64"/>
      <c r="AF61" s="64"/>
      <c r="AG61" s="64"/>
      <c r="AH61" s="64"/>
      <c r="AI61" s="64"/>
      <c r="AJ61" s="64"/>
      <c r="AK61" s="64"/>
      <c r="AL61" s="64"/>
      <c r="AM61" s="64"/>
      <c r="AN61" s="64"/>
      <c r="AO61" s="64"/>
      <c r="AP61" s="64"/>
      <c r="AQ61" s="64"/>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c r="BR61" s="64"/>
      <c r="BS61" s="64"/>
      <c r="BT61" s="64"/>
      <c r="BU61" s="64"/>
      <c r="BV61" s="64"/>
      <c r="BW61" s="64"/>
      <c r="BX61" s="64"/>
      <c r="BY61" s="64"/>
      <c r="BZ61" s="64"/>
      <c r="CA61" s="64"/>
      <c r="CB61" s="64"/>
      <c r="CC61" s="64"/>
      <c r="CD61" s="64"/>
    </row>
    <row r="62" spans="1:82">
      <c r="A62" s="85" t="s">
        <v>259</v>
      </c>
      <c r="B62" s="99">
        <f>'Sched &amp; Prod Assumptions'!B89</f>
        <v>650</v>
      </c>
      <c r="C62" s="99">
        <f>'Sched &amp; Prod Assumptions'!E89</f>
        <v>20</v>
      </c>
      <c r="D62" s="64"/>
      <c r="E62" s="64"/>
      <c r="F62" s="64"/>
      <c r="G62" s="64"/>
      <c r="H62" s="87" t="s">
        <v>701</v>
      </c>
      <c r="I62" s="95"/>
      <c r="J62" s="91">
        <f>IF(Input!B16=Subsea,0,IF(Input!B16=Fixed_Platform,'Cost Assumptions'!O57,IF(Input!B16=Jack_up,'Cost Assumptions'!O60,IF(Input!B16=FPSU,'Cost Assumptions'!O80,IF(Input!B16=Tethered___Semi,'Cost Assumptions'!O68,IF(Input!B16=Lists!O39,'Cost Assumptions'!O63,0))))))</f>
        <v>2468.1023999999993</v>
      </c>
      <c r="K62" s="64"/>
      <c r="L62" s="64"/>
      <c r="M62" s="64"/>
      <c r="N62" s="99">
        <v>500</v>
      </c>
      <c r="O62" s="99">
        <v>24</v>
      </c>
      <c r="P62" s="99">
        <v>24</v>
      </c>
      <c r="Q62" s="99">
        <v>24</v>
      </c>
      <c r="R62" s="64"/>
      <c r="S62" s="64"/>
      <c r="T62" s="64"/>
      <c r="U62" s="64"/>
      <c r="V62" s="64"/>
      <c r="W62" s="64"/>
      <c r="X62" s="64"/>
      <c r="Y62" s="64"/>
      <c r="Z62" s="64"/>
      <c r="AA62" s="64"/>
      <c r="AB62" s="64"/>
      <c r="AC62" s="64"/>
      <c r="AD62" s="64"/>
      <c r="AE62" s="64"/>
      <c r="AF62" s="64"/>
      <c r="AG62" s="64"/>
      <c r="AH62" s="64"/>
      <c r="AI62" s="64"/>
      <c r="AJ62" s="64"/>
      <c r="AK62" s="64"/>
      <c r="AL62" s="64"/>
      <c r="AM62" s="64"/>
      <c r="AN62" s="64"/>
      <c r="AO62" s="64"/>
      <c r="AP62" s="64"/>
      <c r="AQ62" s="64"/>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c r="BR62" s="64"/>
      <c r="BS62" s="64"/>
      <c r="BT62" s="64"/>
      <c r="BU62" s="64"/>
      <c r="BV62" s="64"/>
      <c r="BW62" s="64"/>
      <c r="BX62" s="64"/>
      <c r="BY62" s="64"/>
      <c r="BZ62" s="64"/>
      <c r="CA62" s="64"/>
      <c r="CB62" s="64"/>
      <c r="CC62" s="64"/>
      <c r="CD62" s="64"/>
    </row>
    <row r="63" spans="1:82">
      <c r="A63" s="85" t="s">
        <v>260</v>
      </c>
      <c r="B63" s="99">
        <f>'Sched &amp; Prod Assumptions'!B90+Input!B15*'Sched &amp; Prod Assumptions'!C90</f>
        <v>3250</v>
      </c>
      <c r="C63" s="99">
        <f>'Sched &amp; Prod Assumptions'!E90</f>
        <v>30</v>
      </c>
      <c r="D63" s="64"/>
      <c r="E63" s="64"/>
      <c r="F63" s="64"/>
      <c r="G63" s="64"/>
      <c r="H63" s="87" t="s">
        <v>855</v>
      </c>
      <c r="I63" s="95"/>
      <c r="J63" s="85">
        <f>IF(Input!B13="Oil",'Cost Assumptions'!O81,0)</f>
        <v>370.21535999999998</v>
      </c>
      <c r="K63" s="64"/>
      <c r="L63" s="64"/>
      <c r="M63" s="64"/>
      <c r="N63" s="99">
        <v>800</v>
      </c>
      <c r="O63" s="99">
        <v>24</v>
      </c>
      <c r="P63" s="99">
        <v>30</v>
      </c>
      <c r="Q63" s="99">
        <v>30</v>
      </c>
      <c r="R63" s="64"/>
      <c r="S63" s="64"/>
      <c r="T63" s="64"/>
      <c r="U63" s="64"/>
      <c r="V63" s="64"/>
      <c r="W63" s="64"/>
      <c r="X63" s="64"/>
      <c r="Y63" s="64"/>
      <c r="Z63" s="64"/>
      <c r="AA63" s="64"/>
      <c r="AB63" s="64"/>
      <c r="AC63" s="64"/>
      <c r="AD63" s="64"/>
      <c r="AE63" s="64"/>
      <c r="AF63" s="64"/>
      <c r="AG63" s="64"/>
      <c r="AH63" s="64"/>
      <c r="AI63" s="64"/>
      <c r="AJ63" s="64"/>
      <c r="AK63" s="64"/>
      <c r="AL63" s="64"/>
      <c r="AM63" s="64"/>
      <c r="AN63" s="64"/>
      <c r="AO63" s="64"/>
      <c r="AP63" s="64"/>
      <c r="AQ63" s="64"/>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c r="BR63" s="64"/>
      <c r="BS63" s="64"/>
      <c r="BT63" s="64"/>
      <c r="BU63" s="64"/>
      <c r="BV63" s="64"/>
      <c r="BW63" s="64"/>
      <c r="BX63" s="64"/>
      <c r="BY63" s="64"/>
      <c r="BZ63" s="64"/>
      <c r="CA63" s="64"/>
      <c r="CB63" s="64"/>
      <c r="CC63" s="64"/>
      <c r="CD63" s="64"/>
    </row>
    <row r="64" spans="1:82">
      <c r="A64" s="85" t="s">
        <v>720</v>
      </c>
      <c r="B64" s="99">
        <f>'Sched &amp; Prod Assumptions'!B91</f>
        <v>650</v>
      </c>
      <c r="C64" s="99">
        <f>'Sched &amp; Prod Assumptions'!E91</f>
        <v>30</v>
      </c>
      <c r="D64" s="64"/>
      <c r="E64" s="64"/>
      <c r="F64" s="64"/>
      <c r="G64" s="64"/>
      <c r="H64" s="87" t="s">
        <v>824</v>
      </c>
      <c r="I64" s="95"/>
      <c r="J64" s="91">
        <f>B28*'Cost Assumptions'!O73+('Cost Assumptions'!O74+'Cost Assumptions'!O71)*Development!B23</f>
        <v>338541.37919999997</v>
      </c>
      <c r="K64" s="64"/>
      <c r="L64" s="64"/>
      <c r="M64" s="64"/>
      <c r="N64" s="99">
        <v>10000</v>
      </c>
      <c r="O64" s="99"/>
      <c r="P64" s="99"/>
      <c r="Q64" s="99"/>
      <c r="R64" s="64"/>
      <c r="S64" s="64"/>
      <c r="T64" s="64"/>
      <c r="U64" s="64"/>
      <c r="V64" s="64"/>
      <c r="W64" s="64"/>
      <c r="X64" s="64"/>
      <c r="Y64" s="64"/>
      <c r="Z64" s="64"/>
      <c r="AA64" s="64"/>
      <c r="AB64" s="64"/>
      <c r="AC64" s="64"/>
      <c r="AD64" s="64"/>
      <c r="AE64" s="64"/>
      <c r="AF64" s="64"/>
      <c r="AG64" s="64"/>
      <c r="AH64" s="64"/>
      <c r="AI64" s="64"/>
      <c r="AJ64" s="64"/>
      <c r="AK64" s="64"/>
      <c r="AL64" s="64"/>
      <c r="AM64" s="64"/>
      <c r="AN64" s="64"/>
      <c r="AO64" s="64"/>
      <c r="AP64" s="64"/>
      <c r="AQ64" s="64"/>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c r="BR64" s="64"/>
      <c r="BS64" s="64"/>
      <c r="BT64" s="64"/>
      <c r="BU64" s="64"/>
      <c r="BV64" s="64"/>
      <c r="BW64" s="64"/>
      <c r="BX64" s="64"/>
      <c r="BY64" s="64"/>
      <c r="BZ64" s="64"/>
      <c r="CA64" s="64"/>
      <c r="CB64" s="64"/>
      <c r="CC64" s="64"/>
      <c r="CD64" s="64"/>
    </row>
    <row r="65" spans="1:82">
      <c r="A65" s="85" t="s">
        <v>722</v>
      </c>
      <c r="B65" s="99">
        <f>'Sched &amp; Prod Assumptions'!B92</f>
        <v>650</v>
      </c>
      <c r="C65" s="99">
        <f>'Sched &amp; Prod Assumptions'!E92</f>
        <v>50</v>
      </c>
      <c r="D65" s="64"/>
      <c r="E65" s="64"/>
      <c r="F65" s="64"/>
      <c r="G65" s="64"/>
      <c r="H65" s="87" t="s">
        <v>706</v>
      </c>
      <c r="I65" s="95"/>
      <c r="J65" s="91">
        <f>(IF(P25="Deviated",0,B22)+(B23-B22))*B34*'Cost Assumptions'!O72</f>
        <v>74043.071999999986</v>
      </c>
      <c r="K65" s="64"/>
      <c r="L65" s="64"/>
      <c r="M65" s="64"/>
      <c r="N65" s="120"/>
      <c r="O65" s="120"/>
      <c r="P65" s="120"/>
      <c r="Q65" s="120"/>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c r="CA65" s="64"/>
      <c r="CB65" s="64"/>
      <c r="CC65" s="64"/>
      <c r="CD65" s="64"/>
    </row>
    <row r="66" spans="1:82">
      <c r="A66" s="85" t="s">
        <v>261</v>
      </c>
      <c r="B66" s="99">
        <f>'Sched &amp; Prod Assumptions'!B93</f>
        <v>180</v>
      </c>
      <c r="C66" s="99">
        <f>'Sched &amp; Prod Assumptions'!E93</f>
        <v>20</v>
      </c>
      <c r="D66" s="64"/>
      <c r="E66" s="64"/>
      <c r="F66" s="64"/>
      <c r="G66" s="64"/>
      <c r="H66" s="87" t="s">
        <v>704</v>
      </c>
      <c r="I66" s="95"/>
      <c r="J66" s="91">
        <f>MAX(0,B26-1)*B35*IF(Input!B33=Sweet,'Cost Assumptions'!O94,'Cost Assumptions'!O96)+MAX(0,B26-1)*IF(Input!B33=Sweet,'Cost Assumptions'!O93,'Cost Assumptions'!O95)</f>
        <v>205675.19999999995</v>
      </c>
      <c r="K66" s="64"/>
      <c r="L66" s="64"/>
      <c r="M66" s="64"/>
      <c r="N66" s="64"/>
      <c r="O66" s="64"/>
      <c r="P66" s="64"/>
      <c r="Q66" s="64"/>
      <c r="R66" s="64"/>
      <c r="S66" s="64"/>
      <c r="T66" s="64"/>
      <c r="U66" s="64"/>
      <c r="V66" s="64"/>
      <c r="W66" s="64"/>
      <c r="X66" s="64"/>
      <c r="Y66" s="64"/>
      <c r="Z66" s="64"/>
      <c r="AA66" s="64"/>
      <c r="AB66" s="64"/>
      <c r="AC66" s="64"/>
      <c r="AD66" s="64"/>
      <c r="AE66" s="64"/>
      <c r="AF66" s="64"/>
      <c r="AG66" s="64"/>
      <c r="AH66" s="64"/>
      <c r="AI66" s="64"/>
      <c r="AJ66" s="64"/>
      <c r="AK66" s="64"/>
      <c r="AL66" s="64"/>
      <c r="AM66" s="64"/>
      <c r="AN66" s="64"/>
      <c r="AO66" s="64"/>
      <c r="AP66" s="64"/>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c r="BR66" s="64"/>
      <c r="BS66" s="64"/>
      <c r="BT66" s="64"/>
      <c r="BU66" s="64"/>
      <c r="BV66" s="64"/>
      <c r="BW66" s="64"/>
      <c r="BX66" s="64"/>
      <c r="BY66" s="64"/>
      <c r="BZ66" s="64"/>
      <c r="CA66" s="64"/>
      <c r="CB66" s="64"/>
      <c r="CC66" s="64"/>
      <c r="CD66" s="64"/>
    </row>
    <row r="67" spans="1:82">
      <c r="A67" s="85" t="s">
        <v>262</v>
      </c>
      <c r="B67" s="99">
        <f>'Sched &amp; Prod Assumptions'!B94+'Sched &amp; Prod Assumptions'!C94*Production!B10</f>
        <v>415.89041095890411</v>
      </c>
      <c r="C67" s="99">
        <f>'Sched &amp; Prod Assumptions'!E94</f>
        <v>60</v>
      </c>
      <c r="D67" s="64"/>
      <c r="E67" s="64"/>
      <c r="F67" s="64"/>
      <c r="G67" s="64"/>
      <c r="H67" s="87" t="s">
        <v>859</v>
      </c>
      <c r="I67" s="95"/>
      <c r="J67" s="85">
        <f>VLOOKUP(K68,N59:Q64,IF(Input!B19&lt;Development!O58,2,IF(Input!B19&lt;Development!P58,3,4)))</f>
        <v>18</v>
      </c>
      <c r="K67" s="64"/>
      <c r="L67" s="64"/>
      <c r="M67" s="64"/>
      <c r="N67" s="64"/>
      <c r="O67" s="64"/>
      <c r="P67" s="64"/>
      <c r="Q67" s="64"/>
      <c r="R67" s="64"/>
      <c r="S67" s="64"/>
      <c r="T67" s="64"/>
      <c r="U67" s="64"/>
      <c r="V67" s="64"/>
      <c r="W67" s="64"/>
      <c r="X67" s="64"/>
      <c r="Y67" s="64"/>
      <c r="Z67" s="64"/>
      <c r="AA67" s="64"/>
      <c r="AB67" s="64"/>
      <c r="AC67" s="64"/>
      <c r="AD67" s="64"/>
      <c r="AE67" s="64"/>
      <c r="AF67" s="64"/>
      <c r="AG67" s="64"/>
      <c r="AH67" s="64"/>
      <c r="AI67" s="64"/>
      <c r="AJ67" s="64"/>
      <c r="AK67" s="64"/>
      <c r="AL67" s="64"/>
      <c r="AM67" s="64"/>
      <c r="AN67" s="64"/>
      <c r="AO67" s="64"/>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c r="BR67" s="64"/>
      <c r="BS67" s="64"/>
      <c r="BT67" s="64"/>
      <c r="BU67" s="64"/>
      <c r="BV67" s="64"/>
      <c r="BW67" s="64"/>
      <c r="BX67" s="64"/>
      <c r="BY67" s="64"/>
      <c r="BZ67" s="64"/>
      <c r="CA67" s="64"/>
      <c r="CB67" s="64"/>
      <c r="CC67" s="64"/>
      <c r="CD67" s="64"/>
    </row>
    <row r="68" spans="1:82">
      <c r="A68" s="85" t="s">
        <v>731</v>
      </c>
      <c r="B68" s="99">
        <f>'Sched &amp; Prod Assumptions'!B95+'Sched &amp; Prod Assumptions'!C95*Production!B10</f>
        <v>415.89041095890411</v>
      </c>
      <c r="C68" s="99">
        <f>'Sched &amp; Prod Assumptions'!E95</f>
        <v>0</v>
      </c>
      <c r="D68" s="64"/>
      <c r="E68" s="64"/>
      <c r="F68" s="64"/>
      <c r="G68" s="64"/>
      <c r="H68" s="87" t="s">
        <v>826</v>
      </c>
      <c r="I68" s="95"/>
      <c r="J68" s="128">
        <f>IF('Cost Assumptions'!O6="Shallow Water",1,Input!B20)</f>
        <v>0.3</v>
      </c>
      <c r="K68" s="101">
        <f>IF(Input!B13="Oil",MAX(Production!K31:K70),Production!B10)</f>
        <v>264.83753424657533</v>
      </c>
      <c r="L68" s="64"/>
      <c r="M68" s="64"/>
      <c r="N68" s="64"/>
      <c r="O68" s="64"/>
      <c r="P68" s="64"/>
      <c r="Q68" s="64"/>
      <c r="R68" s="64"/>
      <c r="S68" s="64"/>
      <c r="T68" s="64"/>
      <c r="U68" s="64"/>
      <c r="V68" s="64"/>
      <c r="W68" s="64"/>
      <c r="X68" s="64"/>
      <c r="Y68" s="64"/>
      <c r="Z68" s="64"/>
      <c r="AA68" s="64"/>
      <c r="AB68" s="64"/>
      <c r="AC68" s="64"/>
      <c r="AD68" s="64"/>
      <c r="AE68" s="64"/>
      <c r="AF68" s="64"/>
      <c r="AG68" s="64"/>
      <c r="AH68" s="64"/>
      <c r="AI68" s="64"/>
      <c r="AJ68" s="64"/>
      <c r="AK68" s="64"/>
      <c r="AL68" s="64"/>
      <c r="AM68" s="64"/>
      <c r="AN68" s="64"/>
      <c r="AO68" s="64"/>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c r="BR68" s="64"/>
      <c r="BS68" s="64"/>
      <c r="BT68" s="64"/>
      <c r="BU68" s="64"/>
      <c r="BV68" s="64"/>
      <c r="BW68" s="64"/>
      <c r="BX68" s="64"/>
      <c r="BY68" s="64"/>
      <c r="BZ68" s="64"/>
      <c r="CA68" s="64"/>
      <c r="CB68" s="64"/>
      <c r="CC68" s="64"/>
      <c r="CD68" s="64"/>
    </row>
    <row r="69" spans="1:82">
      <c r="A69" s="129" t="s">
        <v>263</v>
      </c>
      <c r="B69" s="99">
        <f>'Sched &amp; Prod Assumptions'!B96+'Sched &amp; Prod Assumptions'!C96*B23</f>
        <v>255</v>
      </c>
      <c r="C69" s="99">
        <f>'Sched &amp; Prod Assumptions'!E96+'Sched &amp; Prod Assumptions'!F96*B23</f>
        <v>105</v>
      </c>
      <c r="D69" s="64"/>
      <c r="E69" s="64"/>
      <c r="F69" s="64"/>
      <c r="G69" s="64"/>
      <c r="H69" s="87" t="s">
        <v>828</v>
      </c>
      <c r="I69" s="95"/>
      <c r="J69" s="91">
        <f>IF(Input!B16=Subsea,IF(Input!B33=Sweet,'Cost Assumptions'!O93+'Cost Assumptions'!O94*B36,'Cost Assumptions'!O95+'Cost Assumptions'!O96*B36),IF(Input!B16=Lists!$O$39,IF(Input!B33=Sweet,'Cost Assumptions'!O89+'Cost Assumptions'!O90*B36,'Cost Assumptions'!O91+'Cost Assumptions'!O92*B36),IF(Input!B17=Lists!Q37,0,'Cost Assumptions'!O87+'Cost Assumptions'!O88*B36*J67)))*J68</f>
        <v>288973.65599999996</v>
      </c>
      <c r="K69" s="64"/>
      <c r="L69" s="64"/>
      <c r="M69" s="64"/>
      <c r="N69" s="64"/>
      <c r="O69" s="64"/>
      <c r="P69" s="64"/>
      <c r="Q69" s="64"/>
      <c r="R69" s="64"/>
      <c r="S69" s="64"/>
      <c r="T69" s="64"/>
      <c r="U69" s="64"/>
      <c r="V69" s="64"/>
      <c r="W69" s="64"/>
      <c r="X69" s="64"/>
      <c r="Y69" s="64"/>
      <c r="Z69" s="64"/>
      <c r="AA69" s="64"/>
      <c r="AB69" s="64"/>
      <c r="AC69" s="64"/>
      <c r="AD69" s="64"/>
      <c r="AE69" s="64"/>
      <c r="AF69" s="64"/>
      <c r="AG69" s="64"/>
      <c r="AH69" s="64"/>
      <c r="AI69" s="64"/>
      <c r="AJ69" s="64"/>
      <c r="AK69" s="64"/>
      <c r="AL69" s="64"/>
      <c r="AM69" s="64"/>
      <c r="AN69" s="64"/>
      <c r="AO69" s="64"/>
      <c r="AP69" s="64"/>
      <c r="AQ69" s="64"/>
      <c r="AR69" s="64"/>
      <c r="AS69" s="64"/>
      <c r="AT69" s="64"/>
      <c r="AU69" s="64"/>
      <c r="AV69" s="64"/>
      <c r="AW69" s="64"/>
      <c r="AX69" s="64"/>
      <c r="AY69" s="64"/>
      <c r="AZ69" s="64"/>
      <c r="BA69" s="64"/>
      <c r="BB69" s="64"/>
      <c r="BC69" s="64"/>
      <c r="BD69" s="64"/>
      <c r="BE69" s="64"/>
      <c r="BF69" s="64"/>
      <c r="BG69" s="64"/>
      <c r="BH69" s="64"/>
      <c r="BI69" s="64"/>
      <c r="BJ69" s="64"/>
      <c r="BK69" s="64"/>
      <c r="BL69" s="64"/>
      <c r="BM69" s="64"/>
      <c r="BN69" s="64"/>
      <c r="BO69" s="64"/>
      <c r="BP69" s="64"/>
      <c r="BQ69" s="64"/>
      <c r="BR69" s="64"/>
      <c r="BS69" s="64"/>
      <c r="BT69" s="64"/>
      <c r="BU69" s="64"/>
      <c r="BV69" s="64"/>
      <c r="BW69" s="64"/>
      <c r="BX69" s="64"/>
      <c r="BY69" s="64"/>
      <c r="BZ69" s="64"/>
      <c r="CA69" s="64"/>
      <c r="CB69" s="64"/>
      <c r="CC69" s="64"/>
      <c r="CD69" s="64"/>
    </row>
    <row r="70" spans="1:82">
      <c r="A70" s="129" t="s">
        <v>264</v>
      </c>
      <c r="B70" s="99">
        <f>'Sched &amp; Prod Assumptions'!B97+'Sched &amp; Prod Assumptions'!C97*B36</f>
        <v>175</v>
      </c>
      <c r="C70" s="99">
        <f>'Sched &amp; Prod Assumptions'!E97+'Sched &amp; Prod Assumptions'!F97*B36</f>
        <v>145</v>
      </c>
      <c r="D70" s="64"/>
      <c r="E70" s="64"/>
      <c r="F70" s="64"/>
      <c r="G70" s="64"/>
      <c r="H70" s="87" t="s">
        <v>829</v>
      </c>
      <c r="I70" s="95"/>
      <c r="J70" s="91">
        <f>IF(Input!B16=Subsea,IF(Input!B33=Sweet,'Cost Assumptions'!P93+'Cost Assumptions'!P94*B36,'Cost Assumptions'!P95+'Cost Assumptions'!P96*B36),IF(Input!B16=Lists!O39,IF(Input!B33=Sweet,'Cost Assumptions'!P89+'Cost Assumptions'!P90*B36,'Cost Assumptions'!P91+'Cost Assumptions'!P92*B36),IF(Input!B17=Lists!Q37,0,'Cost Assumptions'!P87+'Cost Assumptions'!P88*B36*J67)))*(1-J68)</f>
        <v>469350.80639999994</v>
      </c>
      <c r="K70" s="64"/>
      <c r="L70" s="64"/>
      <c r="M70" s="64"/>
      <c r="N70" s="64"/>
      <c r="O70" s="64"/>
      <c r="P70" s="64"/>
      <c r="Q70" s="64"/>
      <c r="R70" s="64"/>
      <c r="S70" s="64"/>
      <c r="T70" s="64"/>
      <c r="U70" s="64"/>
      <c r="V70" s="64"/>
      <c r="W70" s="64"/>
      <c r="X70" s="64"/>
      <c r="Y70" s="64"/>
      <c r="Z70" s="64"/>
      <c r="AA70" s="64"/>
      <c r="AB70" s="64"/>
      <c r="AC70" s="64"/>
      <c r="AD70" s="64"/>
      <c r="AE70" s="64"/>
      <c r="AF70" s="64"/>
      <c r="AG70" s="64"/>
      <c r="AH70" s="64"/>
      <c r="AI70" s="64"/>
      <c r="AJ70" s="64"/>
      <c r="AK70" s="64"/>
      <c r="AL70" s="64"/>
      <c r="AM70" s="64"/>
      <c r="AN70" s="64"/>
      <c r="AO70" s="64"/>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c r="BR70" s="64"/>
      <c r="BS70" s="64"/>
      <c r="BT70" s="64"/>
      <c r="BU70" s="64"/>
      <c r="BV70" s="64"/>
      <c r="BW70" s="64"/>
      <c r="BX70" s="64"/>
      <c r="BY70" s="64"/>
      <c r="BZ70" s="64"/>
      <c r="CA70" s="64"/>
      <c r="CB70" s="64"/>
      <c r="CC70" s="64"/>
      <c r="CD70" s="64"/>
    </row>
    <row r="71" spans="1:82">
      <c r="A71" s="84" t="s">
        <v>265</v>
      </c>
      <c r="B71" s="64"/>
      <c r="C71" s="64"/>
      <c r="D71" s="64"/>
      <c r="E71" s="130"/>
      <c r="F71" s="64"/>
      <c r="G71" s="64"/>
      <c r="H71" s="121"/>
      <c r="I71" s="64"/>
      <c r="J71" s="64"/>
      <c r="K71" s="64"/>
      <c r="L71" s="64"/>
      <c r="M71" s="64"/>
      <c r="N71" s="64"/>
      <c r="O71" s="64"/>
      <c r="P71" s="64"/>
      <c r="Q71" s="64"/>
      <c r="R71" s="64"/>
      <c r="S71" s="64"/>
      <c r="T71" s="64"/>
      <c r="U71" s="64"/>
      <c r="V71" s="64"/>
      <c r="W71" s="64"/>
      <c r="X71" s="64"/>
      <c r="Y71" s="64"/>
      <c r="Z71" s="64"/>
      <c r="AA71" s="64"/>
      <c r="AB71" s="64"/>
      <c r="AC71" s="64" t="s">
        <v>860</v>
      </c>
      <c r="AD71" s="64" t="s">
        <v>861</v>
      </c>
      <c r="AE71" s="64"/>
      <c r="AF71" s="64"/>
      <c r="AG71" s="64"/>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c r="BR71" s="64"/>
      <c r="BS71" s="64"/>
      <c r="BT71" s="64"/>
      <c r="BU71" s="64"/>
      <c r="BV71" s="64"/>
      <c r="BW71" s="64"/>
      <c r="BX71" s="64"/>
      <c r="BY71" s="64"/>
      <c r="BZ71" s="64"/>
      <c r="CA71" s="64"/>
      <c r="CB71" s="64"/>
      <c r="CC71" s="64"/>
      <c r="CD71" s="64"/>
    </row>
    <row r="72" spans="1:82">
      <c r="A72" s="64"/>
      <c r="B72" s="64"/>
      <c r="C72" s="64"/>
      <c r="D72" s="657" t="s">
        <v>266</v>
      </c>
      <c r="E72" s="658"/>
      <c r="F72" s="659"/>
      <c r="G72" s="657" t="s">
        <v>267</v>
      </c>
      <c r="H72" s="659"/>
      <c r="I72" s="89" t="s">
        <v>268</v>
      </c>
      <c r="J72" s="64"/>
      <c r="K72" s="64"/>
      <c r="L72" s="64"/>
      <c r="M72" s="64"/>
      <c r="N72" s="131">
        <v>0.25</v>
      </c>
      <c r="O72" s="131">
        <v>0.35</v>
      </c>
      <c r="P72" s="131">
        <v>0.4</v>
      </c>
      <c r="Q72" s="64"/>
      <c r="R72" s="64"/>
      <c r="S72" s="64"/>
      <c r="T72" s="64"/>
      <c r="U72" s="64"/>
      <c r="V72" s="64"/>
      <c r="W72" s="64"/>
      <c r="X72" s="64"/>
      <c r="Y72" s="64"/>
      <c r="Z72" s="64"/>
      <c r="AA72" s="64"/>
      <c r="AB72" s="64"/>
      <c r="AC72" s="64">
        <v>364</v>
      </c>
      <c r="AD72" s="121">
        <f>AB77/AA77</f>
        <v>0.91793313069908811</v>
      </c>
      <c r="AE72" s="121"/>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c r="BR72" s="64"/>
      <c r="BS72" s="64"/>
      <c r="BT72" s="64"/>
      <c r="BU72" s="64"/>
      <c r="BV72" s="64"/>
      <c r="BW72" s="64"/>
      <c r="BX72" s="64"/>
      <c r="BY72" s="64"/>
      <c r="BZ72" s="64"/>
      <c r="CA72" s="64"/>
      <c r="CB72" s="64"/>
      <c r="CC72" s="64"/>
      <c r="CD72" s="64"/>
    </row>
    <row r="73" spans="1:82">
      <c r="A73" s="84" t="s">
        <v>269</v>
      </c>
      <c r="B73" s="64"/>
      <c r="C73" s="64"/>
      <c r="D73" s="104" t="s">
        <v>257</v>
      </c>
      <c r="E73" s="104" t="s">
        <v>79</v>
      </c>
      <c r="F73" s="104" t="s">
        <v>192</v>
      </c>
      <c r="G73" s="104" t="s">
        <v>257</v>
      </c>
      <c r="H73" s="104" t="s">
        <v>192</v>
      </c>
      <c r="I73" s="97" t="s">
        <v>270</v>
      </c>
      <c r="J73" s="64"/>
      <c r="K73" s="104" t="s">
        <v>271</v>
      </c>
      <c r="L73" s="104" t="s">
        <v>272</v>
      </c>
      <c r="M73" s="104" t="s">
        <v>192</v>
      </c>
      <c r="N73" s="104">
        <v>1</v>
      </c>
      <c r="O73" s="104">
        <v>2</v>
      </c>
      <c r="P73" s="104">
        <v>3</v>
      </c>
      <c r="Q73" s="64"/>
      <c r="R73" s="104" t="s">
        <v>244</v>
      </c>
      <c r="S73" s="104" t="s">
        <v>245</v>
      </c>
      <c r="T73" s="104" t="s">
        <v>246</v>
      </c>
      <c r="U73" s="104" t="s">
        <v>247</v>
      </c>
      <c r="V73" s="104" t="s">
        <v>42</v>
      </c>
      <c r="W73" s="104" t="s">
        <v>42</v>
      </c>
      <c r="X73" s="104" t="s">
        <v>42</v>
      </c>
      <c r="Y73" s="104" t="s">
        <v>42</v>
      </c>
      <c r="Z73" s="104" t="s">
        <v>13</v>
      </c>
      <c r="AA73" s="64"/>
      <c r="AB73" s="64"/>
      <c r="AC73" s="64"/>
      <c r="AD73" s="64">
        <f>$AC$72+$AD$72*AA75</f>
        <v>1168.1094224924013</v>
      </c>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c r="BR73" s="64"/>
      <c r="BS73" s="64"/>
      <c r="BT73" s="64"/>
      <c r="BU73" s="64"/>
      <c r="BV73" s="64"/>
      <c r="BW73" s="64"/>
      <c r="BX73" s="64"/>
      <c r="BY73" s="64"/>
      <c r="BZ73" s="64"/>
      <c r="CA73" s="64"/>
      <c r="CB73" s="64"/>
      <c r="CC73" s="64"/>
      <c r="CD73" s="64"/>
    </row>
    <row r="74" spans="1:82">
      <c r="A74" s="85" t="s">
        <v>273</v>
      </c>
      <c r="B74" s="91">
        <f>J59+J60*Input!B15</f>
        <v>952199.99999999988</v>
      </c>
      <c r="C74" s="85" t="s">
        <v>2</v>
      </c>
      <c r="D74" s="99">
        <f>IF(Input!B16=Subsea,0,IF(Input!B16=Fixed_Platform,Development!B63,IF(Input!B16=Jack_up,Development!B62,IF(OR(Input!B16=FPSU,Input!B16=Rented_FPSU),Development!B64,Development!B65))))*(1+'Sched &amp; Prod Assumptions'!$B$98)</f>
        <v>780</v>
      </c>
      <c r="E74" s="98">
        <f>B8</f>
        <v>47177</v>
      </c>
      <c r="F74" s="98">
        <f>I78+B8</f>
        <v>47957</v>
      </c>
      <c r="G74" s="99">
        <f>IF(Input!B16=Subsea,0,IF(Input!B16=Fixed_Platform,Development!C63,IF(Input!B16=Jack_up,Development!C62,IF(OR(Input!B16=FPSU,Input!B16=Rented_FPSU),Development!C64,Development!C65))))</f>
        <v>30</v>
      </c>
      <c r="H74" s="119">
        <f>G74+F74</f>
        <v>47987</v>
      </c>
      <c r="I74" s="99">
        <f>D74</f>
        <v>780</v>
      </c>
      <c r="J74" s="64"/>
      <c r="K74" s="98">
        <f>E74+D74/3</f>
        <v>47437</v>
      </c>
      <c r="L74" s="98">
        <f>K74+D74/3</f>
        <v>47697</v>
      </c>
      <c r="M74" s="119">
        <f>E74+D74</f>
        <v>47957</v>
      </c>
      <c r="N74" s="91">
        <f t="shared" ref="N74:P77" si="21">N$72*$B74</f>
        <v>238049.99999999997</v>
      </c>
      <c r="O74" s="91">
        <f t="shared" si="21"/>
        <v>333269.99999999994</v>
      </c>
      <c r="P74" s="91">
        <f t="shared" si="21"/>
        <v>380880</v>
      </c>
      <c r="Q74" s="64"/>
      <c r="R74" s="85">
        <f>YEAR(E74)</f>
        <v>2029</v>
      </c>
      <c r="S74" s="85">
        <f t="shared" ref="S74:U77" si="22">R74+1</f>
        <v>2030</v>
      </c>
      <c r="T74" s="85">
        <f t="shared" si="22"/>
        <v>2031</v>
      </c>
      <c r="U74" s="85">
        <f t="shared" si="22"/>
        <v>2032</v>
      </c>
      <c r="V74" s="91">
        <f t="shared" ref="V74:Y77" si="23">IF(AND(YEAR($E74)=R74,YEAR($K74)=R74),$N74,IF(OR(YEAR($K74)&lt;R74,YEAR($E74)&gt;R74),0,IF(YEAR($E74)&lt;R74,($K74-DATE(R74-1,12,31)),(DATE(R74,12,31)-$E74))/($K74-$E74)*$N74))+IF(AND(YEAR($K74)=R74,YEAR($L74)=R74),$O74,IF(OR(YEAR($L74)&lt;R74,YEAR($K74)&gt;R74),0,IF(YEAR($K74)&lt;R74,($L74-DATE(R74-1,12,31)),(DATE(R74,12,31)-$K74))/($L74-$K74)*$O74))+IF(AND(YEAR($L74)=R74,YEAR($M74)=R74),$P74,IF(OR(YEAR($M74)&lt;R74,YEAR($L74)&gt;R74),0,IF(YEAR($L74)&lt;R74,($M74-DATE(R74-1,12,31)),(DATE(R74,12,31)-$L74))/($M74-$L74)*$P74))</f>
        <v>297013.15384615381</v>
      </c>
      <c r="W74" s="91">
        <f t="shared" si="23"/>
        <v>495510.23076923069</v>
      </c>
      <c r="X74" s="91">
        <f t="shared" si="23"/>
        <v>159676.61538461538</v>
      </c>
      <c r="Y74" s="91">
        <f t="shared" si="23"/>
        <v>0</v>
      </c>
      <c r="Z74" s="91">
        <f>SUM(V74:Y74)</f>
        <v>952199.99999999988</v>
      </c>
      <c r="AA74" s="64"/>
      <c r="AB74" s="64"/>
      <c r="AC74" s="64"/>
      <c r="AD74" s="64">
        <f>$AC$72+$AD$72*AA76</f>
        <v>866.10942249240122</v>
      </c>
      <c r="AE74" s="64"/>
      <c r="AF74" s="64"/>
      <c r="AG74" s="64"/>
      <c r="AH74" s="64"/>
      <c r="AI74" s="64"/>
      <c r="AJ74" s="64"/>
      <c r="AK74" s="64"/>
      <c r="AL74" s="64"/>
      <c r="AM74" s="64"/>
      <c r="AN74" s="122"/>
      <c r="AO74" s="64"/>
      <c r="AP74" s="64"/>
      <c r="AQ74" s="64"/>
      <c r="AR74" s="64"/>
      <c r="AS74" s="64"/>
      <c r="AT74" s="64"/>
      <c r="AU74" s="64"/>
      <c r="AV74" s="64"/>
      <c r="AW74" s="64"/>
      <c r="AX74" s="64"/>
      <c r="AY74" s="64"/>
      <c r="AZ74" s="64"/>
      <c r="BA74" s="64"/>
      <c r="BB74" s="64"/>
      <c r="BC74" s="64"/>
      <c r="BD74" s="64"/>
      <c r="BE74" s="64"/>
      <c r="BF74" s="64"/>
      <c r="BG74" s="64"/>
      <c r="BH74" s="64"/>
      <c r="BI74" s="64"/>
      <c r="BJ74" s="64"/>
      <c r="BK74" s="64"/>
      <c r="BL74" s="64"/>
      <c r="BM74" s="64"/>
      <c r="BN74" s="64"/>
      <c r="BO74" s="64"/>
      <c r="BP74" s="64"/>
      <c r="BQ74" s="64"/>
      <c r="BR74" s="64"/>
      <c r="BS74" s="64"/>
      <c r="BT74" s="64"/>
      <c r="BU74" s="64"/>
      <c r="BV74" s="64"/>
      <c r="BW74" s="64"/>
      <c r="BX74" s="64"/>
      <c r="BY74" s="64"/>
      <c r="BZ74" s="64"/>
      <c r="CA74" s="64"/>
      <c r="CB74" s="64"/>
      <c r="CC74" s="64"/>
      <c r="CD74" s="64"/>
    </row>
    <row r="75" spans="1:82">
      <c r="A75" s="85" t="s">
        <v>274</v>
      </c>
      <c r="B75" s="91">
        <f>J61+J62*Production!B10+IF(Input!B33=Sour,'Cost Assumptions'!O69+'Cost Assumptions'!O70*Production!$B$10)+J63*M15</f>
        <v>1006452.5163748076</v>
      </c>
      <c r="C75" s="85" t="s">
        <v>2</v>
      </c>
      <c r="D75" s="99">
        <f>IF(Input!B16=Subsea,0,IF(Input!B16=Fixed_Platform,Development!B67,Development!B68))*(1+'Sched &amp; Prod Assumptions'!$B$98)</f>
        <v>499.0684931506849</v>
      </c>
      <c r="E75" s="98">
        <f>F75-D75</f>
        <v>47487.931506849316</v>
      </c>
      <c r="F75" s="98">
        <f>H74</f>
        <v>47987</v>
      </c>
      <c r="G75" s="99">
        <f>IF(Input!B16=Subsea,0,IF(Input!B16=Fixed_Platform,Development!C67,Development!C68))</f>
        <v>0</v>
      </c>
      <c r="H75" s="119">
        <f>G75+F75</f>
        <v>47987</v>
      </c>
      <c r="I75" s="99">
        <f>MAX(0,D75-G74)</f>
        <v>469.0684931506849</v>
      </c>
      <c r="J75" s="64"/>
      <c r="K75" s="98">
        <f>E75+D75/3</f>
        <v>47654.28767123288</v>
      </c>
      <c r="L75" s="98">
        <f>K75+D75/3</f>
        <v>47820.643835616444</v>
      </c>
      <c r="M75" s="119">
        <f>E75+D75</f>
        <v>47987</v>
      </c>
      <c r="N75" s="91">
        <f t="shared" si="21"/>
        <v>251613.12909370189</v>
      </c>
      <c r="O75" s="91">
        <f t="shared" si="21"/>
        <v>352258.38073118264</v>
      </c>
      <c r="P75" s="91">
        <f t="shared" si="21"/>
        <v>402581.00654992304</v>
      </c>
      <c r="Q75" s="64"/>
      <c r="R75" s="85">
        <f>YEAR(E75)</f>
        <v>2030</v>
      </c>
      <c r="S75" s="85">
        <f t="shared" si="22"/>
        <v>2031</v>
      </c>
      <c r="T75" s="85">
        <f t="shared" si="22"/>
        <v>2032</v>
      </c>
      <c r="U75" s="85">
        <f t="shared" si="22"/>
        <v>2033</v>
      </c>
      <c r="V75" s="91">
        <f t="shared" si="23"/>
        <v>670073.27778272959</v>
      </c>
      <c r="W75" s="91">
        <f t="shared" si="23"/>
        <v>336379.23859207809</v>
      </c>
      <c r="X75" s="91">
        <f t="shared" si="23"/>
        <v>0</v>
      </c>
      <c r="Y75" s="91">
        <f t="shared" si="23"/>
        <v>0</v>
      </c>
      <c r="Z75" s="91">
        <f>SUM(V75:Y75)</f>
        <v>1006452.5163748077</v>
      </c>
      <c r="AA75" s="64">
        <v>876</v>
      </c>
      <c r="AB75" s="64">
        <v>1169</v>
      </c>
      <c r="AC75" s="64"/>
      <c r="AD75" s="64"/>
      <c r="AE75" s="64"/>
      <c r="AF75" s="64"/>
      <c r="AG75" s="64"/>
      <c r="AH75" s="64"/>
      <c r="AI75" s="64"/>
      <c r="AJ75" s="64"/>
      <c r="AK75" s="64"/>
      <c r="AL75" s="64"/>
      <c r="AM75" s="64"/>
      <c r="AN75" s="122"/>
      <c r="AO75" s="64"/>
      <c r="AP75" s="64"/>
      <c r="AQ75" s="64"/>
      <c r="AR75" s="64"/>
      <c r="AS75" s="64"/>
      <c r="AT75" s="64"/>
      <c r="AU75" s="64"/>
      <c r="AV75" s="64"/>
      <c r="AW75" s="64"/>
      <c r="AX75" s="64"/>
      <c r="AY75" s="64"/>
      <c r="AZ75" s="64"/>
      <c r="BA75" s="64"/>
      <c r="BB75" s="64"/>
      <c r="BC75" s="64"/>
      <c r="BD75" s="64"/>
      <c r="BE75" s="64"/>
      <c r="BF75" s="64"/>
      <c r="BG75" s="64"/>
      <c r="BH75" s="64"/>
      <c r="BI75" s="64"/>
      <c r="BJ75" s="64"/>
      <c r="BK75" s="64"/>
      <c r="BL75" s="64"/>
      <c r="BM75" s="64"/>
      <c r="BN75" s="64"/>
      <c r="BO75" s="64"/>
      <c r="BP75" s="64"/>
      <c r="BQ75" s="64"/>
      <c r="BR75" s="64"/>
      <c r="BS75" s="64"/>
      <c r="BT75" s="64"/>
      <c r="BU75" s="64"/>
      <c r="BV75" s="64"/>
      <c r="BW75" s="64"/>
      <c r="BX75" s="64"/>
      <c r="BY75" s="64"/>
      <c r="BZ75" s="64"/>
      <c r="CA75" s="64"/>
      <c r="CB75" s="64"/>
      <c r="CC75" s="64"/>
      <c r="CD75" s="64"/>
    </row>
    <row r="76" spans="1:82">
      <c r="A76" s="85" t="s">
        <v>275</v>
      </c>
      <c r="B76" s="91">
        <f>SUM(J64:J66)</f>
        <v>618259.65119999996</v>
      </c>
      <c r="C76" s="85" t="s">
        <v>2</v>
      </c>
      <c r="D76" s="99">
        <f>B69</f>
        <v>255</v>
      </c>
      <c r="E76" s="98">
        <f>F76-D76</f>
        <v>47576</v>
      </c>
      <c r="F76" s="98">
        <f>H76-G76</f>
        <v>47831</v>
      </c>
      <c r="G76" s="99">
        <f>C69*(1+'Sched &amp; Prod Assumptions'!B98)</f>
        <v>126</v>
      </c>
      <c r="H76" s="119">
        <f>F74</f>
        <v>47957</v>
      </c>
      <c r="I76" s="99">
        <f>G76+D76</f>
        <v>381</v>
      </c>
      <c r="J76" s="64"/>
      <c r="K76" s="98">
        <f>E76+D76/3</f>
        <v>47661</v>
      </c>
      <c r="L76" s="98">
        <f>K76+D76/3</f>
        <v>47746</v>
      </c>
      <c r="M76" s="119">
        <f>E76+D76</f>
        <v>47831</v>
      </c>
      <c r="N76" s="91">
        <f t="shared" si="21"/>
        <v>154564.91279999999</v>
      </c>
      <c r="O76" s="91">
        <f t="shared" si="21"/>
        <v>216390.87791999997</v>
      </c>
      <c r="P76" s="91">
        <f t="shared" si="21"/>
        <v>247303.86048</v>
      </c>
      <c r="Q76" s="64"/>
      <c r="R76" s="85">
        <f>YEAR(E76)</f>
        <v>2030</v>
      </c>
      <c r="S76" s="85">
        <f t="shared" si="22"/>
        <v>2031</v>
      </c>
      <c r="T76" s="85">
        <f t="shared" si="22"/>
        <v>2032</v>
      </c>
      <c r="U76" s="85">
        <f t="shared" si="22"/>
        <v>2033</v>
      </c>
      <c r="V76" s="91">
        <f t="shared" si="23"/>
        <v>618259.65119999996</v>
      </c>
      <c r="W76" s="91">
        <f t="shared" si="23"/>
        <v>0</v>
      </c>
      <c r="X76" s="91">
        <f t="shared" si="23"/>
        <v>0</v>
      </c>
      <c r="Y76" s="91">
        <f t="shared" si="23"/>
        <v>0</v>
      </c>
      <c r="Z76" s="91">
        <f>SUM(V76:Y76)</f>
        <v>618259.65119999996</v>
      </c>
      <c r="AA76" s="64">
        <v>547</v>
      </c>
      <c r="AB76" s="64">
        <v>867</v>
      </c>
      <c r="AC76" s="64">
        <f>(AA75-AA76)/(AB75-AB76)</f>
        <v>1.0894039735099337</v>
      </c>
      <c r="AD76" s="64">
        <f>AB76-AA76*AD72</f>
        <v>364.89057750759878</v>
      </c>
      <c r="AE76" s="64"/>
      <c r="AF76" s="64"/>
      <c r="AG76" s="64"/>
      <c r="AH76" s="64"/>
      <c r="AI76" s="64"/>
      <c r="AJ76" s="64"/>
      <c r="AK76" s="64"/>
      <c r="AL76" s="64"/>
      <c r="AM76" s="64"/>
      <c r="AN76" s="122"/>
      <c r="AO76" s="64"/>
      <c r="AP76" s="64"/>
      <c r="AQ76" s="64"/>
      <c r="AR76" s="64"/>
      <c r="AS76" s="64"/>
      <c r="AT76" s="64"/>
      <c r="AU76" s="64"/>
      <c r="AV76" s="64"/>
      <c r="AW76" s="64"/>
      <c r="AX76" s="64"/>
      <c r="AY76" s="64"/>
      <c r="AZ76" s="64"/>
      <c r="BA76" s="64"/>
      <c r="BB76" s="64"/>
      <c r="BC76" s="64"/>
      <c r="BD76" s="64"/>
      <c r="BE76" s="64"/>
      <c r="BF76" s="64"/>
      <c r="BG76" s="64"/>
      <c r="BH76" s="64"/>
      <c r="BI76" s="64"/>
      <c r="BJ76" s="64"/>
      <c r="BK76" s="64"/>
      <c r="BL76" s="64"/>
      <c r="BM76" s="64"/>
      <c r="BN76" s="64"/>
      <c r="BO76" s="64"/>
      <c r="BP76" s="64"/>
      <c r="BQ76" s="64"/>
      <c r="BR76" s="64"/>
      <c r="BS76" s="64"/>
      <c r="BT76" s="64"/>
      <c r="BU76" s="64"/>
      <c r="BV76" s="64"/>
      <c r="BW76" s="64"/>
      <c r="BX76" s="64"/>
      <c r="BY76" s="64"/>
      <c r="BZ76" s="64"/>
      <c r="CA76" s="64"/>
      <c r="CB76" s="64"/>
      <c r="CC76" s="64"/>
      <c r="CD76" s="64"/>
    </row>
    <row r="77" spans="1:82">
      <c r="A77" s="85" t="s">
        <v>705</v>
      </c>
      <c r="B77" s="91">
        <f>J69+J70</f>
        <v>758324.46239999984</v>
      </c>
      <c r="C77" s="85" t="s">
        <v>2</v>
      </c>
      <c r="D77" s="99">
        <f>B70</f>
        <v>175</v>
      </c>
      <c r="E77" s="98">
        <f>F77-D77</f>
        <v>47637</v>
      </c>
      <c r="F77" s="98">
        <f>H77-G77</f>
        <v>47812</v>
      </c>
      <c r="G77" s="99">
        <f>C70</f>
        <v>145</v>
      </c>
      <c r="H77" s="119">
        <f>IF(Input!B16=Lists!A28,Development!F74,Development!F74)</f>
        <v>47957</v>
      </c>
      <c r="I77" s="99">
        <f>G77+D77</f>
        <v>320</v>
      </c>
      <c r="J77" s="64"/>
      <c r="K77" s="98">
        <f>E77+D77/3</f>
        <v>47695.333333333336</v>
      </c>
      <c r="L77" s="98">
        <f>K77+D77/3</f>
        <v>47753.666666666672</v>
      </c>
      <c r="M77" s="119">
        <f>E77+D77</f>
        <v>47812</v>
      </c>
      <c r="N77" s="91">
        <f t="shared" si="21"/>
        <v>189581.11559999996</v>
      </c>
      <c r="O77" s="91">
        <f t="shared" si="21"/>
        <v>265413.56183999992</v>
      </c>
      <c r="P77" s="91">
        <f t="shared" si="21"/>
        <v>303329.78495999996</v>
      </c>
      <c r="Q77" s="64"/>
      <c r="R77" s="85">
        <f>YEAR(E77)</f>
        <v>2030</v>
      </c>
      <c r="S77" s="85">
        <f t="shared" si="22"/>
        <v>2031</v>
      </c>
      <c r="T77" s="85">
        <f t="shared" si="22"/>
        <v>2032</v>
      </c>
      <c r="U77" s="85">
        <f t="shared" si="22"/>
        <v>2033</v>
      </c>
      <c r="V77" s="91">
        <f t="shared" si="23"/>
        <v>758324.46239999984</v>
      </c>
      <c r="W77" s="91">
        <f t="shared" si="23"/>
        <v>0</v>
      </c>
      <c r="X77" s="91">
        <f t="shared" si="23"/>
        <v>0</v>
      </c>
      <c r="Y77" s="91">
        <f t="shared" si="23"/>
        <v>0</v>
      </c>
      <c r="Z77" s="91">
        <f>SUM(V77:Y77)</f>
        <v>758324.46239999984</v>
      </c>
      <c r="AA77" s="64">
        <f>AA75-AA76</f>
        <v>329</v>
      </c>
      <c r="AB77" s="64">
        <f>AB75-AB76</f>
        <v>302</v>
      </c>
      <c r="AC77" s="64"/>
      <c r="AD77" s="64"/>
      <c r="AE77" s="64"/>
      <c r="AF77" s="64"/>
      <c r="AG77" s="64"/>
      <c r="AH77" s="64"/>
      <c r="AI77" s="64"/>
      <c r="AJ77" s="64"/>
      <c r="AK77" s="64"/>
      <c r="AL77" s="64"/>
      <c r="AM77" s="64"/>
      <c r="AN77" s="122"/>
      <c r="AO77" s="64"/>
      <c r="AP77" s="64"/>
      <c r="AQ77" s="64"/>
      <c r="AR77" s="64"/>
      <c r="AS77" s="64"/>
      <c r="AT77" s="64"/>
      <c r="AU77" s="64"/>
      <c r="AV77" s="64"/>
      <c r="AW77" s="64"/>
      <c r="AX77" s="64"/>
      <c r="AY77" s="64"/>
      <c r="AZ77" s="64"/>
      <c r="BA77" s="64"/>
      <c r="BB77" s="64"/>
      <c r="BC77" s="64"/>
      <c r="BD77" s="64"/>
      <c r="BE77" s="64"/>
      <c r="BF77" s="64"/>
      <c r="BG77" s="64"/>
      <c r="BH77" s="64"/>
      <c r="BI77" s="64"/>
      <c r="BJ77" s="64"/>
      <c r="BK77" s="64"/>
      <c r="BL77" s="64"/>
      <c r="BM77" s="64"/>
      <c r="BN77" s="64"/>
      <c r="BO77" s="64"/>
      <c r="BP77" s="64"/>
      <c r="BQ77" s="64"/>
      <c r="BR77" s="64"/>
      <c r="BS77" s="64"/>
      <c r="BT77" s="64"/>
      <c r="BU77" s="64"/>
      <c r="BV77" s="64"/>
      <c r="BW77" s="64"/>
      <c r="BX77" s="64"/>
      <c r="BY77" s="64"/>
      <c r="BZ77" s="64"/>
      <c r="CA77" s="64"/>
      <c r="CB77" s="64"/>
      <c r="CC77" s="64"/>
      <c r="CD77" s="64"/>
    </row>
    <row r="78" spans="1:82">
      <c r="A78" s="85" t="s">
        <v>276</v>
      </c>
      <c r="B78" s="91">
        <f>SUM(B74:B77)*'Cost Assumptions'!O100</f>
        <v>366876.02929722873</v>
      </c>
      <c r="C78" s="85" t="s">
        <v>2</v>
      </c>
      <c r="D78" s="64"/>
      <c r="E78" s="64"/>
      <c r="F78" s="64"/>
      <c r="G78" s="64"/>
      <c r="H78" s="85" t="s">
        <v>277</v>
      </c>
      <c r="I78" s="99">
        <f>MAX(I74:I77,)</f>
        <v>780</v>
      </c>
      <c r="J78" s="64"/>
      <c r="K78" s="113"/>
      <c r="L78" s="64"/>
      <c r="M78" s="113"/>
      <c r="N78" s="64"/>
      <c r="O78" s="64"/>
      <c r="P78" s="64"/>
      <c r="Q78" s="64"/>
      <c r="R78" s="64"/>
      <c r="S78" s="64"/>
      <c r="T78" s="64"/>
      <c r="U78" s="64"/>
      <c r="V78" s="64"/>
      <c r="W78" s="64"/>
      <c r="X78" s="64"/>
      <c r="Y78" s="64"/>
      <c r="Z78" s="64"/>
      <c r="AA78" s="64"/>
      <c r="AB78" s="64"/>
      <c r="AC78" s="64"/>
      <c r="AD78" s="64"/>
      <c r="AE78" s="64"/>
      <c r="AF78" s="122"/>
      <c r="AG78" s="122"/>
      <c r="AH78" s="122"/>
      <c r="AI78" s="122"/>
      <c r="AJ78" s="122"/>
      <c r="AK78" s="122"/>
      <c r="AL78" s="122"/>
      <c r="AM78" s="122"/>
      <c r="AN78" s="122"/>
      <c r="AO78" s="64"/>
      <c r="AP78" s="64"/>
      <c r="AQ78" s="64"/>
      <c r="AR78" s="64"/>
      <c r="AS78" s="64"/>
      <c r="AT78" s="64"/>
      <c r="AU78" s="64"/>
      <c r="AV78" s="64"/>
      <c r="AW78" s="64"/>
      <c r="AX78" s="64"/>
      <c r="AY78" s="64"/>
      <c r="AZ78" s="64"/>
      <c r="BA78" s="64"/>
      <c r="BB78" s="64"/>
      <c r="BC78" s="64"/>
      <c r="BD78" s="64"/>
      <c r="BE78" s="64"/>
      <c r="BF78" s="64"/>
      <c r="BG78" s="64"/>
      <c r="BH78" s="64"/>
      <c r="BI78" s="64"/>
      <c r="BJ78" s="64"/>
      <c r="BK78" s="64"/>
      <c r="BL78" s="64"/>
      <c r="BM78" s="64"/>
      <c r="BN78" s="64"/>
      <c r="BO78" s="64"/>
      <c r="BP78" s="64"/>
      <c r="BQ78" s="64"/>
      <c r="BR78" s="64"/>
      <c r="BS78" s="64"/>
      <c r="BT78" s="64"/>
      <c r="BU78" s="64"/>
      <c r="BV78" s="64"/>
      <c r="BW78" s="64"/>
      <c r="BX78" s="64"/>
      <c r="BY78" s="64"/>
      <c r="BZ78" s="64"/>
      <c r="CA78" s="64"/>
      <c r="CB78" s="64"/>
      <c r="CC78" s="64"/>
      <c r="CD78" s="64"/>
    </row>
    <row r="79" spans="1:82">
      <c r="A79" s="85" t="s">
        <v>716</v>
      </c>
      <c r="B79" s="91">
        <f>IF(AND(Input!B13="Oil",Input!B16=FPSU),IF(Input!B14&lt;150,1,2)*'Cost Assumptions'!O82,0)</f>
        <v>274233.59999999992</v>
      </c>
      <c r="C79" s="85" t="s">
        <v>2</v>
      </c>
      <c r="D79" s="64"/>
      <c r="E79" s="64"/>
      <c r="F79" s="64"/>
      <c r="G79" s="64"/>
      <c r="H79" s="64"/>
      <c r="I79" s="64"/>
      <c r="J79" s="64"/>
      <c r="K79" s="113"/>
      <c r="L79" s="64"/>
      <c r="M79" s="113"/>
      <c r="N79" s="64"/>
      <c r="O79" s="64"/>
      <c r="P79" s="64"/>
      <c r="Q79" s="64"/>
      <c r="R79" s="64"/>
      <c r="S79" s="64"/>
      <c r="T79" s="64"/>
      <c r="U79" s="64"/>
      <c r="V79" s="64"/>
      <c r="W79" s="64"/>
      <c r="X79" s="64"/>
      <c r="Y79" s="64"/>
      <c r="Z79" s="64"/>
      <c r="AA79" s="64"/>
      <c r="AB79" s="64"/>
      <c r="AC79" s="64"/>
      <c r="AD79" s="64"/>
      <c r="AE79" s="64"/>
      <c r="AF79" s="122"/>
      <c r="AG79" s="122"/>
      <c r="AH79" s="122"/>
      <c r="AI79" s="122"/>
      <c r="AJ79" s="122"/>
      <c r="AK79" s="122"/>
      <c r="AL79" s="122"/>
      <c r="AM79" s="122"/>
      <c r="AN79" s="64"/>
      <c r="AO79" s="64"/>
      <c r="AP79" s="64"/>
      <c r="AQ79" s="64"/>
      <c r="AR79" s="64"/>
      <c r="AS79" s="64"/>
      <c r="AT79" s="64"/>
      <c r="AU79" s="64"/>
      <c r="AV79" s="64"/>
      <c r="AW79" s="64"/>
      <c r="AX79" s="64"/>
      <c r="AY79" s="64"/>
      <c r="AZ79" s="64"/>
      <c r="BA79" s="64"/>
      <c r="BB79" s="64"/>
      <c r="BC79" s="64"/>
      <c r="BD79" s="64"/>
      <c r="BE79" s="64"/>
      <c r="BF79" s="64"/>
      <c r="BG79" s="64"/>
      <c r="BH79" s="64"/>
      <c r="BI79" s="64"/>
      <c r="BJ79" s="64"/>
      <c r="BK79" s="64"/>
      <c r="BL79" s="64"/>
      <c r="BM79" s="64"/>
      <c r="BN79" s="64"/>
      <c r="BO79" s="64"/>
      <c r="BP79" s="64"/>
      <c r="BQ79" s="64"/>
      <c r="BR79" s="64"/>
      <c r="BS79" s="64"/>
      <c r="BT79" s="64"/>
      <c r="BU79" s="64"/>
      <c r="BV79" s="64"/>
      <c r="BW79" s="64"/>
      <c r="BX79" s="64"/>
      <c r="BY79" s="64"/>
      <c r="BZ79" s="64"/>
      <c r="CA79" s="64"/>
      <c r="CB79" s="64"/>
      <c r="CC79" s="64"/>
      <c r="CD79" s="64"/>
    </row>
    <row r="80" spans="1:82">
      <c r="A80" s="85" t="s">
        <v>1033</v>
      </c>
      <c r="B80" s="91">
        <f>IF(Input!B17=Lists!A24,IF(Input!B18=Lists!O42,'Cost Assumptions'!O97+'Cost Assumptions'!O98*Production!$B$10,0),0)</f>
        <v>0</v>
      </c>
      <c r="C80" s="85" t="str">
        <f>C79</f>
        <v>K$</v>
      </c>
      <c r="D80" s="64">
        <f>YEAR(Production!B20)-1</f>
        <v>2030</v>
      </c>
      <c r="E80" s="64"/>
      <c r="F80" s="64"/>
      <c r="G80" s="64"/>
      <c r="H80" s="64"/>
      <c r="I80" s="64"/>
      <c r="J80" s="64"/>
      <c r="K80" s="113"/>
      <c r="L80" s="64"/>
      <c r="M80" s="113"/>
      <c r="N80" s="64"/>
      <c r="O80" s="64"/>
      <c r="P80" s="64"/>
      <c r="Q80" s="64"/>
      <c r="R80" s="64"/>
      <c r="S80" s="64"/>
      <c r="T80" s="64"/>
      <c r="U80" s="64"/>
      <c r="V80" s="64"/>
      <c r="W80" s="64"/>
      <c r="X80" s="64"/>
      <c r="Y80" s="64"/>
      <c r="Z80" s="64"/>
      <c r="AA80" s="64"/>
      <c r="AB80" s="64"/>
      <c r="AC80" s="64"/>
      <c r="AD80" s="64"/>
      <c r="AE80" s="64"/>
      <c r="AF80" s="122"/>
      <c r="AG80" s="122"/>
      <c r="AH80" s="122"/>
      <c r="AI80" s="122"/>
      <c r="AJ80" s="122"/>
      <c r="AK80" s="122"/>
      <c r="AL80" s="122"/>
      <c r="AM80" s="122"/>
      <c r="AN80" s="64"/>
      <c r="AO80" s="64"/>
      <c r="AP80" s="64"/>
      <c r="AQ80" s="64"/>
      <c r="AR80" s="64"/>
      <c r="AS80" s="64"/>
      <c r="AT80" s="64"/>
      <c r="AU80" s="64"/>
      <c r="AV80" s="64"/>
      <c r="AW80" s="64"/>
      <c r="AX80" s="64"/>
      <c r="AY80" s="64"/>
      <c r="AZ80" s="64"/>
      <c r="BA80" s="64"/>
      <c r="BB80" s="64"/>
      <c r="BC80" s="64"/>
      <c r="BD80" s="64"/>
      <c r="BE80" s="64"/>
      <c r="BF80" s="64"/>
      <c r="BG80" s="64"/>
      <c r="BH80" s="64"/>
      <c r="BI80" s="64"/>
      <c r="BJ80" s="64"/>
      <c r="BK80" s="64"/>
      <c r="BL80" s="64"/>
      <c r="BM80" s="64"/>
      <c r="BN80" s="64"/>
      <c r="BO80" s="64"/>
      <c r="BP80" s="64"/>
      <c r="BQ80" s="64"/>
      <c r="BR80" s="64"/>
      <c r="BS80" s="64"/>
      <c r="BT80" s="64"/>
      <c r="BU80" s="64"/>
      <c r="BV80" s="64"/>
      <c r="BW80" s="64"/>
      <c r="BX80" s="64"/>
      <c r="BY80" s="64"/>
      <c r="BZ80" s="64"/>
      <c r="CA80" s="64"/>
      <c r="CB80" s="64"/>
      <c r="CC80" s="64"/>
      <c r="CD80" s="64"/>
    </row>
    <row r="81" spans="1:83">
      <c r="A81" s="85" t="s">
        <v>13</v>
      </c>
      <c r="B81" s="91">
        <f>SUM(B74:B78)</f>
        <v>3702112.6592720356</v>
      </c>
      <c r="C81" s="85" t="s">
        <v>2</v>
      </c>
      <c r="D81" s="64"/>
      <c r="E81" s="132"/>
      <c r="F81" s="64"/>
      <c r="G81" s="64"/>
      <c r="H81" s="113"/>
      <c r="I81" s="113"/>
      <c r="J81" s="113"/>
      <c r="K81" s="113"/>
      <c r="L81" s="113"/>
      <c r="M81" s="113"/>
      <c r="N81" s="113"/>
      <c r="O81" s="64"/>
      <c r="P81" s="64"/>
      <c r="Q81" s="64"/>
      <c r="R81" s="64"/>
      <c r="S81" s="64"/>
      <c r="T81" s="64"/>
      <c r="U81" s="64"/>
      <c r="V81" s="64"/>
      <c r="W81" s="64"/>
      <c r="X81" s="64"/>
      <c r="Y81" s="64"/>
      <c r="Z81" s="64"/>
      <c r="AA81" s="64"/>
      <c r="AB81" s="64"/>
      <c r="AC81" s="64"/>
      <c r="AD81" s="64"/>
      <c r="AE81" s="64"/>
      <c r="AF81" s="64"/>
      <c r="AG81" s="64"/>
      <c r="AH81" s="64"/>
      <c r="AI81" s="64"/>
      <c r="AJ81" s="64"/>
      <c r="AK81" s="64"/>
      <c r="AL81" s="64"/>
      <c r="AM81" s="64"/>
      <c r="AN81" s="64"/>
      <c r="AO81" s="64"/>
      <c r="AP81" s="64"/>
      <c r="AQ81" s="64"/>
      <c r="AR81" s="64"/>
      <c r="AS81" s="64"/>
      <c r="AT81" s="64"/>
      <c r="AU81" s="64"/>
      <c r="AV81" s="64"/>
      <c r="AW81" s="64"/>
      <c r="AX81" s="64"/>
      <c r="AY81" s="64"/>
      <c r="AZ81" s="64"/>
      <c r="BA81" s="64"/>
      <c r="BB81" s="64"/>
      <c r="BC81" s="64"/>
      <c r="BD81" s="64"/>
      <c r="BE81" s="64"/>
      <c r="BF81" s="64"/>
      <c r="BG81" s="64"/>
      <c r="BH81" s="64"/>
      <c r="BI81" s="64"/>
      <c r="BJ81" s="64"/>
      <c r="BK81" s="64"/>
      <c r="BL81" s="64"/>
      <c r="BM81" s="64"/>
      <c r="BN81" s="64"/>
      <c r="BO81" s="64"/>
      <c r="BP81" s="64"/>
      <c r="BQ81" s="64"/>
      <c r="BR81" s="64"/>
      <c r="BS81" s="64"/>
      <c r="BT81" s="64"/>
      <c r="BU81" s="64"/>
      <c r="BV81" s="64"/>
      <c r="BW81" s="64"/>
      <c r="BX81" s="64"/>
      <c r="BY81" s="64"/>
      <c r="BZ81" s="64"/>
      <c r="CA81" s="64"/>
      <c r="CB81" s="64"/>
      <c r="CC81" s="64"/>
      <c r="CD81" s="64"/>
    </row>
    <row r="82" spans="1:83">
      <c r="A82" s="133"/>
      <c r="B82" s="64"/>
      <c r="C82" s="64"/>
      <c r="D82" s="64"/>
      <c r="E82" s="64"/>
      <c r="F82" s="64"/>
      <c r="G82" s="64"/>
      <c r="H82" s="113"/>
      <c r="I82" s="113"/>
      <c r="J82" s="113"/>
      <c r="K82" s="113"/>
      <c r="L82" s="113"/>
      <c r="M82" s="113"/>
      <c r="N82" s="113"/>
      <c r="O82" s="64"/>
      <c r="P82" s="64"/>
      <c r="Q82" s="64"/>
      <c r="R82" s="64"/>
      <c r="S82" s="64"/>
      <c r="T82" s="64"/>
      <c r="U82" s="64"/>
      <c r="V82" s="64"/>
      <c r="W82" s="64"/>
      <c r="X82" s="64"/>
      <c r="Y82" s="64"/>
      <c r="Z82" s="64"/>
      <c r="AA82" s="64"/>
      <c r="AB82" s="64"/>
      <c r="AC82" s="64"/>
      <c r="AD82" s="64"/>
      <c r="AE82" s="64"/>
      <c r="AF82" s="64"/>
      <c r="AG82" s="64"/>
      <c r="AH82" s="64"/>
      <c r="AI82" s="64"/>
      <c r="AJ82" s="64"/>
      <c r="AK82" s="64"/>
      <c r="AL82" s="64"/>
      <c r="AM82" s="64"/>
      <c r="AN82" s="64"/>
      <c r="AO82" s="64"/>
      <c r="AP82" s="64"/>
      <c r="AQ82" s="64"/>
      <c r="AR82" s="64"/>
      <c r="AS82" s="64"/>
      <c r="AT82" s="64"/>
      <c r="AU82" s="64"/>
      <c r="AV82" s="64"/>
      <c r="AW82" s="64"/>
      <c r="AX82" s="64"/>
      <c r="AY82" s="64"/>
      <c r="AZ82" s="64"/>
      <c r="BA82" s="64"/>
      <c r="BB82" s="64"/>
      <c r="BC82" s="64"/>
      <c r="BD82" s="64"/>
      <c r="BE82" s="64"/>
      <c r="BF82" s="64"/>
      <c r="BG82" s="64"/>
      <c r="BH82" s="64"/>
      <c r="BI82" s="64"/>
      <c r="BJ82" s="64"/>
      <c r="BK82" s="64"/>
      <c r="BL82" s="64"/>
      <c r="BM82" s="64"/>
      <c r="BN82" s="64"/>
      <c r="BO82" s="64"/>
      <c r="BP82" s="64"/>
      <c r="BQ82" s="64"/>
      <c r="BR82" s="64"/>
      <c r="BS82" s="64"/>
      <c r="BT82" s="64"/>
      <c r="BU82" s="64"/>
      <c r="BV82" s="64"/>
      <c r="BW82" s="64"/>
      <c r="BX82" s="64"/>
      <c r="BY82" s="64"/>
      <c r="BZ82" s="64"/>
      <c r="CA82" s="64"/>
      <c r="CB82" s="64"/>
      <c r="CC82" s="64"/>
      <c r="CD82" s="64"/>
    </row>
    <row r="83" spans="1:83">
      <c r="A83" s="64"/>
      <c r="B83" s="64"/>
      <c r="C83" s="64"/>
      <c r="D83" s="64"/>
      <c r="E83" s="64"/>
      <c r="F83" s="64"/>
      <c r="G83" s="64"/>
      <c r="H83" s="113"/>
      <c r="I83" s="113"/>
      <c r="J83" s="113"/>
      <c r="K83" s="113"/>
      <c r="L83" s="113"/>
      <c r="M83" s="113"/>
      <c r="N83" s="113"/>
      <c r="O83" s="113"/>
      <c r="P83" s="113"/>
      <c r="Q83" s="113"/>
      <c r="R83" s="113"/>
      <c r="S83" s="113"/>
      <c r="T83" s="113"/>
      <c r="U83" s="113"/>
      <c r="V83" s="64"/>
      <c r="W83" s="64"/>
      <c r="X83" s="1"/>
      <c r="Y83" s="64"/>
      <c r="Z83" s="64"/>
      <c r="AA83" s="84" t="s">
        <v>278</v>
      </c>
      <c r="AB83" s="64"/>
      <c r="AC83" s="64"/>
      <c r="AD83" s="178" t="s">
        <v>972</v>
      </c>
      <c r="AE83" s="64"/>
      <c r="AF83" s="64"/>
      <c r="AG83" s="64"/>
      <c r="AH83" s="64"/>
      <c r="AI83" s="64"/>
      <c r="AJ83" s="64"/>
      <c r="AK83" s="64"/>
      <c r="AL83" s="84" t="s">
        <v>279</v>
      </c>
      <c r="AM83" s="64"/>
      <c r="AN83" s="64"/>
      <c r="AO83" s="64"/>
      <c r="AP83" s="64"/>
      <c r="AQ83" s="64"/>
      <c r="AR83" s="64"/>
      <c r="AS83" s="64"/>
      <c r="AT83" s="64"/>
      <c r="AU83" s="64"/>
      <c r="AV83" s="64"/>
      <c r="AW83" s="64"/>
      <c r="AX83" s="84" t="s">
        <v>280</v>
      </c>
      <c r="AY83" s="64"/>
      <c r="AZ83" s="64"/>
      <c r="BA83" s="64"/>
      <c r="BB83" s="64"/>
      <c r="BC83" s="64"/>
      <c r="BD83" s="64"/>
      <c r="BE83" s="64"/>
      <c r="BF83" s="64"/>
      <c r="BG83" s="64"/>
      <c r="BH83" s="64"/>
      <c r="BI83" s="64"/>
      <c r="BJ83" s="84" t="s">
        <v>281</v>
      </c>
      <c r="BK83" s="64"/>
      <c r="BL83" s="64"/>
      <c r="BM83" s="64"/>
      <c r="BN83" s="64"/>
      <c r="BO83" s="84" t="s">
        <v>282</v>
      </c>
      <c r="BP83" s="84"/>
      <c r="BQ83" s="84"/>
      <c r="BR83" s="84" t="s">
        <v>283</v>
      </c>
      <c r="BS83" s="84"/>
      <c r="BT83" s="84"/>
      <c r="BU83" s="64"/>
      <c r="BV83" s="64"/>
      <c r="BW83" s="64"/>
      <c r="BX83" s="64"/>
      <c r="BY83" s="64"/>
      <c r="BZ83" s="64"/>
      <c r="CA83" s="64"/>
      <c r="CB83" s="64"/>
      <c r="CC83" s="64"/>
      <c r="CD83" s="64"/>
      <c r="CE83" s="64"/>
    </row>
    <row r="84" spans="1:83">
      <c r="A84" s="64"/>
      <c r="B84" s="84" t="s">
        <v>284</v>
      </c>
      <c r="C84" s="64"/>
      <c r="D84" s="64"/>
      <c r="E84" s="64"/>
      <c r="F84" s="64"/>
      <c r="G84" s="64"/>
      <c r="H84" s="64"/>
      <c r="I84" s="113"/>
      <c r="J84" s="64"/>
      <c r="K84" s="64"/>
      <c r="L84" s="64"/>
      <c r="M84" s="64"/>
      <c r="N84" s="64"/>
      <c r="O84" s="64"/>
      <c r="P84" s="64"/>
      <c r="Q84" s="64"/>
      <c r="R84" s="64"/>
      <c r="S84" s="427"/>
      <c r="T84" s="64"/>
      <c r="U84" s="64"/>
      <c r="V84" s="64"/>
      <c r="W84" s="64"/>
      <c r="X84" s="1"/>
      <c r="Y84" s="64"/>
      <c r="Z84" s="64"/>
      <c r="AA84" s="64"/>
      <c r="AB84" s="64"/>
      <c r="AC84" s="64"/>
      <c r="AD84" s="64"/>
      <c r="AE84" s="64"/>
      <c r="AF84" s="64"/>
      <c r="AG84" s="64"/>
      <c r="AH84" s="64"/>
      <c r="AI84" s="64"/>
      <c r="AJ84" s="64"/>
      <c r="AK84" s="64"/>
      <c r="AL84" s="64"/>
      <c r="AM84" s="64"/>
      <c r="AN84" s="64"/>
      <c r="AO84" s="64"/>
      <c r="AP84" s="64"/>
      <c r="AQ84" s="64"/>
      <c r="AR84" s="64"/>
      <c r="AS84" s="64"/>
      <c r="AT84" s="64"/>
      <c r="AU84" s="64"/>
      <c r="AV84" s="64"/>
      <c r="AW84" s="64"/>
      <c r="AX84" s="64"/>
      <c r="AY84" s="64"/>
      <c r="AZ84" s="64"/>
      <c r="BA84" s="64"/>
      <c r="BB84" s="64"/>
      <c r="BC84" s="64"/>
      <c r="BD84" s="64"/>
      <c r="BE84" s="64"/>
      <c r="BF84" s="64"/>
      <c r="BG84" s="64"/>
      <c r="BH84" s="64"/>
      <c r="BI84" s="64"/>
      <c r="BJ84" s="64"/>
      <c r="BK84" s="64"/>
      <c r="BL84" s="64"/>
      <c r="BM84" s="64"/>
      <c r="BN84" s="64"/>
      <c r="BO84" s="64"/>
      <c r="BP84" s="64"/>
      <c r="BQ84" s="64"/>
      <c r="BR84" s="64"/>
      <c r="BS84" s="64"/>
      <c r="BT84" s="64"/>
      <c r="BU84" s="64"/>
      <c r="BV84" s="64"/>
      <c r="BW84" s="64"/>
      <c r="BX84" s="64"/>
      <c r="BY84" s="64"/>
      <c r="BZ84" s="64"/>
      <c r="CA84" s="64"/>
      <c r="CB84" s="64"/>
      <c r="CC84" s="64"/>
      <c r="CD84" s="64"/>
      <c r="CE84" s="64"/>
    </row>
    <row r="85" spans="1:83">
      <c r="A85" s="64"/>
      <c r="B85" s="64"/>
      <c r="C85" s="64"/>
      <c r="D85" s="64"/>
      <c r="E85" s="64"/>
      <c r="F85" s="64"/>
      <c r="G85" s="64"/>
      <c r="H85" s="64"/>
      <c r="I85" s="64"/>
      <c r="J85" s="64"/>
      <c r="K85" s="64"/>
      <c r="L85" s="64"/>
      <c r="M85" s="64"/>
      <c r="N85" s="64"/>
      <c r="O85" s="64"/>
      <c r="P85" s="64"/>
      <c r="Q85" s="64"/>
      <c r="R85" s="64"/>
      <c r="S85" s="64"/>
      <c r="T85" s="64"/>
      <c r="U85" s="64"/>
      <c r="V85" s="64"/>
      <c r="W85" s="64"/>
      <c r="X85" s="1"/>
      <c r="Y85" s="64"/>
      <c r="Z85" s="64"/>
      <c r="AA85" s="85" t="s">
        <v>285</v>
      </c>
      <c r="AB85" s="85">
        <f>IF('Devel Overrides'!C17=Lists!A37,0,1)</f>
        <v>0</v>
      </c>
      <c r="AC85" s="64"/>
      <c r="AD85" s="64"/>
      <c r="AE85" s="64"/>
      <c r="AF85" s="64"/>
      <c r="AG85" s="64"/>
      <c r="AH85" s="64"/>
      <c r="AI85" s="64"/>
      <c r="AJ85" s="64"/>
      <c r="AK85" s="64"/>
      <c r="AL85" s="64"/>
      <c r="AM85" s="64"/>
      <c r="AN85" s="64"/>
      <c r="AO85" s="64"/>
      <c r="AP85" s="64"/>
      <c r="AQ85" s="64"/>
      <c r="AR85" s="64"/>
      <c r="AS85" s="64"/>
      <c r="AT85" s="64"/>
      <c r="AU85" s="64"/>
      <c r="AV85" s="64"/>
      <c r="AW85" s="64"/>
      <c r="AX85" s="64"/>
      <c r="AY85" s="64"/>
      <c r="AZ85" s="64"/>
      <c r="BA85" s="64"/>
      <c r="BB85" s="64"/>
      <c r="BC85" s="64"/>
      <c r="BD85" s="64"/>
      <c r="BE85" s="64"/>
      <c r="BF85" s="64"/>
      <c r="BG85" s="64"/>
      <c r="BH85" s="64"/>
      <c r="BI85" s="64"/>
      <c r="BJ85" s="64"/>
      <c r="BK85" s="64"/>
      <c r="BL85" s="64"/>
      <c r="BM85" s="64"/>
      <c r="BN85" s="64"/>
      <c r="BO85" s="64"/>
      <c r="BP85" s="64"/>
      <c r="BQ85" s="64"/>
      <c r="BR85" s="64"/>
      <c r="BS85" s="64"/>
      <c r="BT85" s="64"/>
      <c r="BU85" s="64"/>
      <c r="BV85" s="64"/>
      <c r="BW85" s="64"/>
      <c r="BX85" s="64"/>
      <c r="BY85" s="64"/>
      <c r="BZ85" s="64"/>
      <c r="CA85" s="64"/>
      <c r="CB85" s="64"/>
      <c r="CC85" s="64"/>
      <c r="CD85" s="64"/>
      <c r="CE85" s="64"/>
    </row>
    <row r="86" spans="1:83">
      <c r="A86" s="64"/>
      <c r="B86" s="64"/>
      <c r="C86" s="64"/>
      <c r="D86" s="64"/>
      <c r="E86" s="64"/>
      <c r="F86" s="64"/>
      <c r="G86" s="64"/>
      <c r="H86" s="64"/>
      <c r="I86" s="64"/>
      <c r="J86" s="64"/>
      <c r="K86" s="64"/>
      <c r="L86" s="64"/>
      <c r="M86" s="64"/>
      <c r="N86" s="64"/>
      <c r="O86" s="64"/>
      <c r="P86" s="64"/>
      <c r="Q86" s="64"/>
      <c r="R86" s="64"/>
      <c r="S86" s="64"/>
      <c r="T86" s="64"/>
      <c r="U86" s="64"/>
      <c r="V86" s="64"/>
      <c r="W86" s="64"/>
      <c r="X86" s="1"/>
      <c r="Y86" s="64"/>
      <c r="Z86" s="64"/>
      <c r="AA86" s="85" t="s">
        <v>286</v>
      </c>
      <c r="AB86" s="389">
        <f>(DATE(INDEX(A92:A131,MATCH(1,AB92:AB131,0),1),12,31)-B8+1)/(DATE(YEAR(B8)+1,1,1)-DATE(YEAR(B8),1,1))</f>
        <v>0.84109589041095889</v>
      </c>
      <c r="AC86" s="64"/>
      <c r="AD86" s="64"/>
      <c r="AE86" s="64"/>
      <c r="AF86" s="64"/>
      <c r="AG86" s="64"/>
      <c r="AH86" s="64"/>
      <c r="AI86" s="64"/>
      <c r="AJ86" s="64"/>
      <c r="AK86" s="64"/>
      <c r="AL86" s="64"/>
      <c r="AM86" s="64"/>
      <c r="AN86" s="64"/>
      <c r="AO86" s="64"/>
      <c r="AP86" s="64"/>
      <c r="AQ86" s="64"/>
      <c r="AR86" s="64"/>
      <c r="AS86" s="64"/>
      <c r="AT86" s="64"/>
      <c r="AU86" s="64"/>
      <c r="AV86" s="64"/>
      <c r="AW86" s="64"/>
      <c r="AX86" s="64"/>
      <c r="AY86" s="64"/>
      <c r="AZ86" s="64"/>
      <c r="BA86" s="64"/>
      <c r="BB86" s="64"/>
      <c r="BC86" s="64"/>
      <c r="BD86" s="64"/>
      <c r="BE86" s="64"/>
      <c r="BF86" s="64"/>
      <c r="BG86" s="64"/>
      <c r="BH86" s="64"/>
      <c r="BI86" s="64"/>
      <c r="BJ86" s="64"/>
      <c r="BK86" s="64"/>
      <c r="BL86" s="64"/>
      <c r="BM86" s="64"/>
      <c r="BN86" s="64"/>
      <c r="BO86" s="64"/>
      <c r="BP86" s="64"/>
      <c r="BQ86" s="64"/>
      <c r="BR86" s="64"/>
      <c r="BS86" s="64"/>
      <c r="BT86" s="64"/>
      <c r="BU86" s="64"/>
      <c r="BV86" s="64"/>
      <c r="BW86" s="64"/>
      <c r="BX86" s="64"/>
      <c r="BY86" s="64"/>
      <c r="BZ86" s="64"/>
      <c r="CA86" s="64"/>
      <c r="CB86" s="64"/>
      <c r="CC86" s="64"/>
      <c r="CD86" s="64"/>
      <c r="CE86" s="64"/>
    </row>
    <row r="87" spans="1:83">
      <c r="A87" s="64"/>
      <c r="B87" s="64"/>
      <c r="C87" s="85">
        <v>1</v>
      </c>
      <c r="D87" s="85">
        <v>2</v>
      </c>
      <c r="E87" s="85">
        <v>3</v>
      </c>
      <c r="F87" s="85">
        <v>4</v>
      </c>
      <c r="G87" s="85">
        <v>5</v>
      </c>
      <c r="H87" s="85">
        <v>6</v>
      </c>
      <c r="I87" s="85">
        <v>7</v>
      </c>
      <c r="J87" s="85">
        <v>8</v>
      </c>
      <c r="K87" s="85">
        <v>9</v>
      </c>
      <c r="L87" s="85">
        <v>10</v>
      </c>
      <c r="M87" s="85">
        <v>11</v>
      </c>
      <c r="N87" s="85">
        <v>12</v>
      </c>
      <c r="O87" s="85">
        <v>13</v>
      </c>
      <c r="P87" s="85">
        <v>14</v>
      </c>
      <c r="Q87" s="85"/>
      <c r="R87" s="85">
        <v>1</v>
      </c>
      <c r="S87" s="85">
        <v>2</v>
      </c>
      <c r="T87" s="85">
        <v>3</v>
      </c>
      <c r="U87" s="85">
        <v>4</v>
      </c>
      <c r="V87" s="85">
        <v>5</v>
      </c>
      <c r="W87" s="85">
        <v>6</v>
      </c>
      <c r="X87" s="85">
        <v>7</v>
      </c>
      <c r="Y87" s="85">
        <v>8</v>
      </c>
      <c r="Z87" s="64"/>
      <c r="AA87" s="64"/>
      <c r="AB87" s="85" t="s">
        <v>287</v>
      </c>
      <c r="AC87" s="134">
        <f>1-AB86</f>
        <v>0.15890410958904111</v>
      </c>
      <c r="AD87" s="64"/>
      <c r="AE87" s="64"/>
      <c r="AF87" s="64"/>
      <c r="AG87" s="64"/>
      <c r="AH87" s="64"/>
      <c r="AI87" s="64"/>
      <c r="AJ87" s="64"/>
      <c r="AK87" s="64"/>
      <c r="AL87" s="64"/>
      <c r="AM87" s="64"/>
      <c r="AN87" s="64"/>
      <c r="AO87" s="64"/>
      <c r="AP87" s="64"/>
      <c r="AQ87" s="64"/>
      <c r="AR87" s="64"/>
      <c r="AS87" s="64"/>
      <c r="AT87" s="64"/>
      <c r="AU87" s="64"/>
      <c r="AV87" s="64"/>
      <c r="AW87" s="64"/>
      <c r="AX87" s="64"/>
      <c r="AY87" s="64"/>
      <c r="AZ87" s="64"/>
      <c r="BA87" s="64"/>
      <c r="BB87" s="64"/>
      <c r="BC87" s="64"/>
      <c r="BD87" s="64"/>
      <c r="BE87" s="64"/>
      <c r="BF87" s="64"/>
      <c r="BG87" s="64"/>
      <c r="BH87" s="64"/>
      <c r="BI87" s="64"/>
      <c r="BJ87" s="64"/>
      <c r="BK87" s="64"/>
      <c r="BL87" s="64"/>
      <c r="BM87" s="64"/>
      <c r="BN87" s="64"/>
      <c r="BO87" s="64"/>
      <c r="BP87" s="64"/>
      <c r="BQ87" s="64"/>
      <c r="BR87" s="64"/>
      <c r="BS87" s="64"/>
      <c r="BT87" s="64"/>
      <c r="BU87" s="64"/>
      <c r="BV87" s="64"/>
      <c r="BW87" s="64"/>
      <c r="BX87" s="64"/>
      <c r="BY87" s="64"/>
      <c r="BZ87" s="64"/>
      <c r="CA87" s="64"/>
      <c r="CB87" s="64"/>
      <c r="CC87" s="64"/>
      <c r="CD87" s="64"/>
      <c r="CE87" s="64"/>
    </row>
    <row r="88" spans="1:83" ht="60">
      <c r="A88" s="64"/>
      <c r="B88" s="64"/>
      <c r="C88" s="135" t="s">
        <v>250</v>
      </c>
      <c r="D88" s="135" t="s">
        <v>230</v>
      </c>
      <c r="E88" s="135" t="s">
        <v>251</v>
      </c>
      <c r="F88" s="135" t="s">
        <v>252</v>
      </c>
      <c r="G88" s="135" t="s">
        <v>672</v>
      </c>
      <c r="H88" s="135" t="s">
        <v>234</v>
      </c>
      <c r="I88" s="135" t="s">
        <v>673</v>
      </c>
      <c r="J88" s="135" t="s">
        <v>234</v>
      </c>
      <c r="K88" s="135" t="s">
        <v>674</v>
      </c>
      <c r="L88" s="135" t="s">
        <v>234</v>
      </c>
      <c r="M88" s="135" t="s">
        <v>675</v>
      </c>
      <c r="N88" s="135" t="s">
        <v>234</v>
      </c>
      <c r="O88" s="135" t="s">
        <v>681</v>
      </c>
      <c r="P88" s="135" t="s">
        <v>234</v>
      </c>
      <c r="Q88" s="135" t="s">
        <v>162</v>
      </c>
      <c r="R88" s="135" t="s">
        <v>288</v>
      </c>
      <c r="S88" s="135" t="s">
        <v>156</v>
      </c>
      <c r="T88" s="135" t="s">
        <v>289</v>
      </c>
      <c r="U88" s="135" t="s">
        <v>264</v>
      </c>
      <c r="V88" s="135" t="s">
        <v>290</v>
      </c>
      <c r="W88" s="135" t="s">
        <v>716</v>
      </c>
      <c r="X88" s="135" t="s">
        <v>1034</v>
      </c>
      <c r="Y88" s="135" t="s">
        <v>529</v>
      </c>
      <c r="Z88" s="135" t="s">
        <v>13</v>
      </c>
      <c r="AA88" s="64"/>
      <c r="AB88" s="135" t="s">
        <v>291</v>
      </c>
      <c r="AC88" s="104" t="s">
        <v>162</v>
      </c>
      <c r="AD88" s="136" t="s">
        <v>288</v>
      </c>
      <c r="AE88" s="136" t="s">
        <v>156</v>
      </c>
      <c r="AF88" s="136" t="s">
        <v>289</v>
      </c>
      <c r="AG88" s="136" t="s">
        <v>264</v>
      </c>
      <c r="AH88" s="136" t="s">
        <v>290</v>
      </c>
      <c r="AI88" s="135" t="s">
        <v>716</v>
      </c>
      <c r="AJ88" s="135" t="s">
        <v>1034</v>
      </c>
      <c r="AK88" s="135" t="s">
        <v>529</v>
      </c>
      <c r="AL88" s="64"/>
      <c r="AM88" s="104" t="s">
        <v>292</v>
      </c>
      <c r="AN88" s="104" t="s">
        <v>162</v>
      </c>
      <c r="AO88" s="136" t="s">
        <v>288</v>
      </c>
      <c r="AP88" s="136" t="s">
        <v>156</v>
      </c>
      <c r="AQ88" s="136" t="s">
        <v>289</v>
      </c>
      <c r="AR88" s="136" t="s">
        <v>264</v>
      </c>
      <c r="AS88" s="136" t="s">
        <v>290</v>
      </c>
      <c r="AT88" s="135" t="s">
        <v>716</v>
      </c>
      <c r="AU88" s="135" t="s">
        <v>1034</v>
      </c>
      <c r="AV88" s="135" t="s">
        <v>529</v>
      </c>
      <c r="AW88" s="104" t="s">
        <v>13</v>
      </c>
      <c r="AX88" s="108"/>
      <c r="AY88" s="137" t="s">
        <v>292</v>
      </c>
      <c r="AZ88" s="104" t="s">
        <v>162</v>
      </c>
      <c r="BA88" s="135" t="s">
        <v>288</v>
      </c>
      <c r="BB88" s="135" t="s">
        <v>156</v>
      </c>
      <c r="BC88" s="135" t="s">
        <v>289</v>
      </c>
      <c r="BD88" s="135" t="s">
        <v>264</v>
      </c>
      <c r="BE88" s="135" t="s">
        <v>290</v>
      </c>
      <c r="BF88" s="135" t="s">
        <v>716</v>
      </c>
      <c r="BG88" s="135" t="s">
        <v>1034</v>
      </c>
      <c r="BH88" s="135" t="s">
        <v>529</v>
      </c>
      <c r="BI88" s="104" t="s">
        <v>13</v>
      </c>
      <c r="BJ88" s="64"/>
      <c r="BK88" s="135" t="s">
        <v>293</v>
      </c>
      <c r="BL88" s="135" t="s">
        <v>294</v>
      </c>
      <c r="BM88" s="135" t="s">
        <v>295</v>
      </c>
      <c r="BN88" s="64"/>
      <c r="BO88" s="64"/>
      <c r="BP88" s="138" t="s">
        <v>296</v>
      </c>
      <c r="BQ88" s="139"/>
      <c r="BR88" s="64"/>
      <c r="BS88" s="104" t="s">
        <v>292</v>
      </c>
      <c r="BT88" s="89" t="s">
        <v>162</v>
      </c>
      <c r="BU88" s="140" t="s">
        <v>288</v>
      </c>
      <c r="BV88" s="140" t="s">
        <v>156</v>
      </c>
      <c r="BW88" s="140" t="s">
        <v>289</v>
      </c>
      <c r="BX88" s="140" t="s">
        <v>264</v>
      </c>
      <c r="BY88" s="140" t="s">
        <v>290</v>
      </c>
      <c r="BZ88" s="140" t="s">
        <v>716</v>
      </c>
      <c r="CA88" s="135" t="s">
        <v>1034</v>
      </c>
      <c r="CB88" s="135" t="s">
        <v>529</v>
      </c>
      <c r="CC88" s="104" t="s">
        <v>13</v>
      </c>
      <c r="CD88" s="64"/>
      <c r="CE88" s="135" t="s">
        <v>297</v>
      </c>
    </row>
    <row r="89" spans="1:83">
      <c r="A89" s="64"/>
      <c r="B89" s="135" t="s">
        <v>292</v>
      </c>
      <c r="C89" s="139"/>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c r="AL89" s="64"/>
      <c r="AM89" s="141"/>
      <c r="AN89" s="141"/>
      <c r="AO89" s="141"/>
      <c r="AP89" s="141"/>
      <c r="AQ89" s="141"/>
      <c r="AR89" s="141"/>
      <c r="AS89" s="141"/>
      <c r="AT89" s="141"/>
      <c r="AU89" s="141"/>
      <c r="AV89" s="141"/>
      <c r="AW89" s="64"/>
      <c r="AX89" s="64"/>
      <c r="AY89" s="64"/>
      <c r="AZ89" s="64"/>
      <c r="BA89" s="64"/>
      <c r="BB89" s="64"/>
      <c r="BC89" s="64"/>
      <c r="BD89" s="64"/>
      <c r="BE89" s="64"/>
      <c r="BF89" s="64"/>
      <c r="BG89" s="64"/>
      <c r="BH89" s="64"/>
      <c r="BI89" s="64"/>
      <c r="BJ89" s="64"/>
      <c r="BK89" s="64"/>
      <c r="BL89" s="64"/>
      <c r="BM89" s="64"/>
      <c r="BN89" s="64"/>
      <c r="BO89" s="85" t="s">
        <v>298</v>
      </c>
      <c r="BP89" s="142">
        <v>0.01</v>
      </c>
      <c r="BQ89" s="143"/>
      <c r="BR89" s="85" t="s">
        <v>124</v>
      </c>
      <c r="BS89" s="96">
        <f ca="1">Exploration!C8</f>
        <v>1</v>
      </c>
      <c r="BT89" s="96">
        <f ca="1">Exploration!C9</f>
        <v>1</v>
      </c>
      <c r="BU89" s="96">
        <f t="shared" ref="BU89:BZ89" ca="1" si="24">BT89</f>
        <v>1</v>
      </c>
      <c r="BV89" s="96">
        <f t="shared" ca="1" si="24"/>
        <v>1</v>
      </c>
      <c r="BW89" s="96">
        <f t="shared" ca="1" si="24"/>
        <v>1</v>
      </c>
      <c r="BX89" s="96">
        <f t="shared" ca="1" si="24"/>
        <v>1</v>
      </c>
      <c r="BY89" s="96">
        <f t="shared" ca="1" si="24"/>
        <v>1</v>
      </c>
      <c r="BZ89" s="96">
        <f t="shared" ca="1" si="24"/>
        <v>1</v>
      </c>
      <c r="CA89" s="96">
        <f ca="1">BZ89</f>
        <v>1</v>
      </c>
      <c r="CB89" s="96">
        <f ca="1">BY89</f>
        <v>1</v>
      </c>
      <c r="CC89" s="64"/>
      <c r="CD89" s="64"/>
      <c r="CE89" s="64"/>
    </row>
    <row r="90" spans="1:83">
      <c r="A90" s="64"/>
      <c r="B90" s="64"/>
      <c r="C90" s="64"/>
      <c r="D90" s="64"/>
      <c r="E90" s="64"/>
      <c r="F90" s="64"/>
      <c r="G90" s="64"/>
      <c r="H90" s="64"/>
      <c r="I90" s="64"/>
      <c r="J90" s="64"/>
      <c r="K90" s="64"/>
      <c r="L90" s="64"/>
      <c r="M90" s="64"/>
      <c r="N90" s="64"/>
      <c r="O90" s="64"/>
      <c r="P90" s="64"/>
      <c r="Q90" s="64"/>
      <c r="R90" s="64"/>
      <c r="S90" s="144"/>
      <c r="T90" s="64"/>
      <c r="U90" s="64"/>
      <c r="V90" s="64"/>
      <c r="W90" s="64"/>
      <c r="X90" s="64"/>
      <c r="Y90" s="64"/>
      <c r="Z90" s="64"/>
      <c r="AA90" s="64"/>
      <c r="AB90" s="132"/>
      <c r="AC90" s="64"/>
      <c r="AD90" s="64"/>
      <c r="AE90" s="64"/>
      <c r="AF90" s="64"/>
      <c r="AG90" s="64"/>
      <c r="AH90" s="64"/>
      <c r="AI90" s="64"/>
      <c r="AJ90" s="64"/>
      <c r="AK90" s="64"/>
      <c r="AL90" s="64"/>
      <c r="AM90" s="141"/>
      <c r="AN90" s="141"/>
      <c r="AO90" s="64"/>
      <c r="AP90" s="64"/>
      <c r="AQ90" s="64"/>
      <c r="AR90" s="64"/>
      <c r="AS90" s="64"/>
      <c r="AT90" s="64"/>
      <c r="AU90" s="64"/>
      <c r="AV90" s="64"/>
      <c r="AW90" s="64"/>
      <c r="AX90" s="64"/>
      <c r="AY90" s="141"/>
      <c r="AZ90" s="141"/>
      <c r="BA90" s="64"/>
      <c r="BB90" s="64"/>
      <c r="BC90" s="64"/>
      <c r="BD90" s="64"/>
      <c r="BE90" s="64"/>
      <c r="BF90" s="64"/>
      <c r="BG90" s="64"/>
      <c r="BH90" s="64"/>
      <c r="BI90" s="64"/>
      <c r="BJ90" s="64"/>
      <c r="BK90" s="64"/>
      <c r="BL90" s="64"/>
      <c r="BM90" s="64"/>
      <c r="BN90" s="64"/>
      <c r="BO90" s="64"/>
      <c r="BP90" s="64"/>
      <c r="BQ90" s="64"/>
      <c r="BR90" s="64"/>
      <c r="BS90" s="141"/>
      <c r="BT90" s="141"/>
      <c r="BU90" s="64"/>
      <c r="BV90" s="64"/>
      <c r="BW90" s="64"/>
      <c r="BX90" s="64"/>
      <c r="BY90" s="64"/>
      <c r="BZ90" s="64"/>
      <c r="CA90" s="64"/>
      <c r="CB90" s="64"/>
      <c r="CC90" s="64"/>
      <c r="CD90" s="64"/>
      <c r="CE90" s="64"/>
    </row>
    <row r="91" spans="1:83">
      <c r="A91" s="104" t="s">
        <v>13</v>
      </c>
      <c r="B91" s="100">
        <f>SUM(B92:B131)</f>
        <v>14.816231999999996</v>
      </c>
      <c r="C91" s="100">
        <f t="shared" ref="C91:H91" si="25">SUM(C92:C131)</f>
        <v>0</v>
      </c>
      <c r="D91" s="100">
        <f t="shared" si="25"/>
        <v>0</v>
      </c>
      <c r="E91" s="100">
        <f t="shared" si="25"/>
        <v>0</v>
      </c>
      <c r="F91" s="100">
        <f t="shared" si="25"/>
        <v>0</v>
      </c>
      <c r="G91" s="100">
        <f t="shared" si="25"/>
        <v>12.648596962191778</v>
      </c>
      <c r="H91" s="100">
        <f t="shared" si="25"/>
        <v>460.9241964098631</v>
      </c>
      <c r="I91" s="100">
        <f t="shared" ref="I91:N91" si="26">SUM(I92:I131)</f>
        <v>12.648596962191778</v>
      </c>
      <c r="J91" s="100">
        <f t="shared" si="26"/>
        <v>460.9241964098631</v>
      </c>
      <c r="K91" s="100">
        <f t="shared" si="26"/>
        <v>12.648596962191778</v>
      </c>
      <c r="L91" s="100">
        <f t="shared" si="26"/>
        <v>460.9241964098631</v>
      </c>
      <c r="M91" s="100">
        <f t="shared" si="26"/>
        <v>0</v>
      </c>
      <c r="N91" s="100">
        <f t="shared" si="26"/>
        <v>0</v>
      </c>
      <c r="O91" s="100">
        <f t="shared" ref="O91:X91" si="27">SUM(O92:O131)</f>
        <v>0</v>
      </c>
      <c r="P91" s="100">
        <f t="shared" si="27"/>
        <v>0</v>
      </c>
      <c r="Q91" s="100">
        <f t="shared" si="27"/>
        <v>1420.7183801161646</v>
      </c>
      <c r="R91" s="100">
        <f t="shared" si="27"/>
        <v>952.19999999999993</v>
      </c>
      <c r="S91" s="100">
        <f t="shared" si="27"/>
        <v>1006.4525163748077</v>
      </c>
      <c r="T91" s="100">
        <f t="shared" si="27"/>
        <v>618.25965120000001</v>
      </c>
      <c r="U91" s="100">
        <f t="shared" si="27"/>
        <v>758.32446239999979</v>
      </c>
      <c r="V91" s="100">
        <f t="shared" si="27"/>
        <v>366.8760292972288</v>
      </c>
      <c r="W91" s="100">
        <f t="shared" si="27"/>
        <v>274.23359999999991</v>
      </c>
      <c r="X91" s="100">
        <f t="shared" si="27"/>
        <v>0</v>
      </c>
      <c r="Y91" s="100">
        <f>SUM(Y92:Y131)</f>
        <v>740.42253185440723</v>
      </c>
      <c r="Z91" s="100">
        <f>SUM(Z92:Z131)</f>
        <v>6152.3034032426076</v>
      </c>
      <c r="AA91" s="100">
        <f>SUM(AA92:AA131)</f>
        <v>6137.4871712426084</v>
      </c>
      <c r="AB91" s="64"/>
      <c r="AC91" s="129">
        <f t="shared" ref="AC91:AK91" si="28">SUM(AC92:AC131)</f>
        <v>0</v>
      </c>
      <c r="AD91" s="129">
        <f t="shared" si="28"/>
        <v>0</v>
      </c>
      <c r="AE91" s="129">
        <f t="shared" si="28"/>
        <v>0</v>
      </c>
      <c r="AF91" s="129">
        <f t="shared" si="28"/>
        <v>0</v>
      </c>
      <c r="AG91" s="129">
        <f t="shared" si="28"/>
        <v>0</v>
      </c>
      <c r="AH91" s="129">
        <f t="shared" si="28"/>
        <v>0</v>
      </c>
      <c r="AI91" s="129">
        <f t="shared" si="28"/>
        <v>0</v>
      </c>
      <c r="AJ91" s="129">
        <f>SUM(AJ92:AJ131)</f>
        <v>0</v>
      </c>
      <c r="AK91" s="129">
        <f t="shared" si="28"/>
        <v>0</v>
      </c>
      <c r="AL91" s="64"/>
      <c r="AM91" s="100">
        <f t="shared" ref="AM91:AW91" si="29">SUM(AM92:AM131)</f>
        <v>16.746593136071386</v>
      </c>
      <c r="AN91" s="100">
        <f t="shared" si="29"/>
        <v>1796.127296519054</v>
      </c>
      <c r="AO91" s="100">
        <f t="shared" si="29"/>
        <v>1166.3378803895127</v>
      </c>
      <c r="AP91" s="100">
        <f t="shared" si="29"/>
        <v>1250.2207677129497</v>
      </c>
      <c r="AQ91" s="100">
        <f t="shared" si="29"/>
        <v>760.38138705757603</v>
      </c>
      <c r="AR91" s="100">
        <f t="shared" si="29"/>
        <v>932.64343781812443</v>
      </c>
      <c r="AS91" s="100">
        <f t="shared" si="29"/>
        <v>452.05418202759785</v>
      </c>
      <c r="AT91" s="100">
        <f t="shared" si="29"/>
        <v>347.39091979121895</v>
      </c>
      <c r="AU91" s="100">
        <f>SUM(AU92:AU131)</f>
        <v>0</v>
      </c>
      <c r="AV91" s="100">
        <f t="shared" si="29"/>
        <v>912.32753100115212</v>
      </c>
      <c r="AW91" s="100">
        <f t="shared" si="29"/>
        <v>7634.2299954532573</v>
      </c>
      <c r="AX91" s="64"/>
      <c r="AY91" s="100">
        <f t="shared" ref="AY91:BI91" si="30">SUM(AY92:AY131)</f>
        <v>16.746593136071386</v>
      </c>
      <c r="AZ91" s="100">
        <f t="shared" si="30"/>
        <v>1796.127296519054</v>
      </c>
      <c r="BA91" s="100">
        <f t="shared" si="30"/>
        <v>1166.3378803895127</v>
      </c>
      <c r="BB91" s="100">
        <f t="shared" si="30"/>
        <v>1250.2207677129497</v>
      </c>
      <c r="BC91" s="100">
        <f t="shared" si="30"/>
        <v>760.38138705757603</v>
      </c>
      <c r="BD91" s="100">
        <f t="shared" si="30"/>
        <v>932.64343781812443</v>
      </c>
      <c r="BE91" s="100">
        <f t="shared" si="30"/>
        <v>452.05418202759785</v>
      </c>
      <c r="BF91" s="100">
        <f>SUM(BF92:BF131)</f>
        <v>347.39091979121895</v>
      </c>
      <c r="BG91" s="100">
        <f>SUM(BG92:BG131)</f>
        <v>0</v>
      </c>
      <c r="BH91" s="100">
        <f t="shared" si="30"/>
        <v>912.32753100115212</v>
      </c>
      <c r="BI91" s="100">
        <f t="shared" si="30"/>
        <v>7634.2299954532573</v>
      </c>
      <c r="BJ91" s="427"/>
      <c r="BK91" s="100">
        <f>SUM(BK92:BK131)</f>
        <v>2125.00586288246</v>
      </c>
      <c r="BL91" s="100">
        <f>SUM(BL92:BL131)</f>
        <v>5838.1026989342026</v>
      </c>
      <c r="BM91" s="100">
        <f>SUM(BM92:BM131)</f>
        <v>0</v>
      </c>
      <c r="BN91" s="105"/>
      <c r="BO91" s="105"/>
      <c r="BP91" s="100">
        <f>SUM(BP92:BP131)</f>
        <v>7710.5722954077883</v>
      </c>
      <c r="BQ91" s="145" t="s">
        <v>1037</v>
      </c>
      <c r="BR91" s="105"/>
      <c r="BS91" s="100">
        <f t="shared" ref="BS91:CC91" ca="1" si="31">SUM(BS92:BS131)</f>
        <v>16.746593136071386</v>
      </c>
      <c r="BT91" s="100">
        <f t="shared" ca="1" si="31"/>
        <v>1796.127296519054</v>
      </c>
      <c r="BU91" s="100">
        <f t="shared" ca="1" si="31"/>
        <v>1166.3378803895127</v>
      </c>
      <c r="BV91" s="100">
        <f t="shared" ca="1" si="31"/>
        <v>1250.2207677129497</v>
      </c>
      <c r="BW91" s="100">
        <f t="shared" ca="1" si="31"/>
        <v>760.38138705757603</v>
      </c>
      <c r="BX91" s="100">
        <f t="shared" ca="1" si="31"/>
        <v>932.64343781812443</v>
      </c>
      <c r="BY91" s="100">
        <f t="shared" ca="1" si="31"/>
        <v>452.05418202759785</v>
      </c>
      <c r="BZ91" s="100">
        <f t="shared" ca="1" si="31"/>
        <v>347.39091979121895</v>
      </c>
      <c r="CA91" s="100">
        <f ca="1">SUM(CA92:CA131)</f>
        <v>0</v>
      </c>
      <c r="CB91" s="100">
        <f t="shared" ca="1" si="31"/>
        <v>912.32753100115212</v>
      </c>
      <c r="CC91" s="100">
        <f t="shared" ca="1" si="31"/>
        <v>7634.2299954532573</v>
      </c>
      <c r="CD91" s="105"/>
      <c r="CE91" s="100">
        <f>SUM(CE92:CE131)</f>
        <v>5821.3561057981315</v>
      </c>
    </row>
    <row r="92" spans="1:83">
      <c r="A92" s="89">
        <f>'Success Cash Flow'!A10</f>
        <v>2023</v>
      </c>
      <c r="B92" s="107">
        <f t="shared" ref="B92:B131" si="32">IF(A92=$D$10,$F$10,IF(A92=$E$10,$G$10,0))/1000</f>
        <v>0</v>
      </c>
      <c r="C92" s="107">
        <f t="shared" ref="C92:P101" si="33">IF($A92=INDEX($H$41:$N$54,C$87,1),INDEX($O$41:$Y$54,C$87,1),IF($A92=INDEX($H$41:$N$54,C$87,2),INDEX($O$41:$Y$54,C$87,2),IF($A92=INDEX($H$41:$N$54,C$87,3),INDEX($O$41:$Y$54,C$87,3),IF($A92=INDEX($H$41:$N$54,C$87,4),INDEX($O$41:$Y$54,C$87,4),IF($A92=INDEX($H$41:$N$54,C$87,5),INDEX($O$41:$Y$54,C$87,5),IF($A92=INDEX($H$41:$N$54,C$87,6),INDEX($O$41:$Y$54,C$87,6),IF($A92=INDEX($H$41:$N$54,C$87,7),INDEX($O$41:$Y$54,C$87,7),0)))))))/1000</f>
        <v>0</v>
      </c>
      <c r="D92" s="107">
        <f t="shared" si="33"/>
        <v>0</v>
      </c>
      <c r="E92" s="107">
        <f t="shared" si="33"/>
        <v>0</v>
      </c>
      <c r="F92" s="107">
        <f t="shared" si="33"/>
        <v>0</v>
      </c>
      <c r="G92" s="107">
        <f t="shared" si="33"/>
        <v>0</v>
      </c>
      <c r="H92" s="107">
        <f t="shared" si="33"/>
        <v>0</v>
      </c>
      <c r="I92" s="107">
        <f t="shared" si="33"/>
        <v>0</v>
      </c>
      <c r="J92" s="107">
        <f t="shared" si="33"/>
        <v>0</v>
      </c>
      <c r="K92" s="107">
        <f t="shared" si="33"/>
        <v>0</v>
      </c>
      <c r="L92" s="107">
        <f t="shared" si="33"/>
        <v>0</v>
      </c>
      <c r="M92" s="107">
        <f t="shared" si="33"/>
        <v>0</v>
      </c>
      <c r="N92" s="107">
        <f t="shared" si="33"/>
        <v>0</v>
      </c>
      <c r="O92" s="107">
        <f t="shared" si="33"/>
        <v>0</v>
      </c>
      <c r="P92" s="107">
        <f t="shared" si="33"/>
        <v>0</v>
      </c>
      <c r="Q92" s="107">
        <f>SUM(C92:P92)</f>
        <v>0</v>
      </c>
      <c r="R92" s="107">
        <f t="shared" ref="R92:U111" si="34">IF($A92=INDEX($R$74:$U$77,R$87,1),INDEX($V$74:$Y$77,R$87,1),IF($A92=INDEX($R$74:$U$77,R$87,2),INDEX($V$74:$Y$77,R$87,2),IF($A92=INDEX($R$74:$U$77,R$87,3),INDEX($V$74:$Y$77,R$87,3),IF($A92=INDEX($R$74:$U$77,R$87,4),INDEX($V$74:$Y$77,R$87,4),0))))/1000</f>
        <v>0</v>
      </c>
      <c r="S92" s="107">
        <f t="shared" si="34"/>
        <v>0</v>
      </c>
      <c r="T92" s="107">
        <f t="shared" si="34"/>
        <v>0</v>
      </c>
      <c r="U92" s="107">
        <f t="shared" si="34"/>
        <v>0</v>
      </c>
      <c r="V92" s="107">
        <f>'Cost Assumptions'!$O$100*SUM(Development!R92:U92)</f>
        <v>0</v>
      </c>
      <c r="W92" s="109">
        <f>IF(A92=YEAR($B$57),$B$79/1000,0)</f>
        <v>0</v>
      </c>
      <c r="X92" s="109">
        <f>IF(A92=$D$80,$B$80/1000,0)</f>
        <v>0</v>
      </c>
      <c r="Y92" s="109">
        <f>'Cost Assumptions'!$O$101*SUM(Development!R92:V92)</f>
        <v>0</v>
      </c>
      <c r="Z92" s="107">
        <f t="shared" ref="Z92:Z131" si="35">SUM(Q92:Y92)+B92</f>
        <v>0</v>
      </c>
      <c r="AA92" s="121">
        <f>Z92-B92</f>
        <v>0</v>
      </c>
      <c r="AB92" s="146">
        <f t="shared" ref="AB92:AB131" si="36">IF(A92=YEAR($B$8),1,IF(A92&gt;YEAR($B$8),1+AB91,0))</f>
        <v>0</v>
      </c>
      <c r="AC92" s="386">
        <f>IF(OR($AB92=0,$AB92&gt;40),0,INDEX('Devel Overrides'!D$28:D$68,$AB92+1,1)*$AB$86+INDEX('Devel Overrides'!D$28:D$68,$AB92,1)*$AC$87)*'Devel Overrides'!$F$19</f>
        <v>0</v>
      </c>
      <c r="AD92" s="386">
        <f>IF(OR($AB92=0,$AB92&gt;40),0,INDEX('Devel Overrides'!E$28:E$68,$AB92+1,1)*$AB$86+INDEX('Devel Overrides'!E$28:E$68,$AB92,1)*$AC$87)*'Devel Overrides'!$F$19</f>
        <v>0</v>
      </c>
      <c r="AE92" s="386">
        <f>IF(OR($AB92=0,$AB92&gt;40),0,INDEX('Devel Overrides'!F$28:F$68,$AB92+1,1)*$AB$86+INDEX('Devel Overrides'!F$28:F$68,$AB92,1)*$AC$87)*'Devel Overrides'!$F$19</f>
        <v>0</v>
      </c>
      <c r="AF92" s="386">
        <f>IF(OR($AB92=0,$AB92&gt;40),0,INDEX('Devel Overrides'!G$28:G$68,$AB92+1,1)*$AB$86+INDEX('Devel Overrides'!G$28:G$68,$AB92,1)*$AC$87)*'Devel Overrides'!$F$19</f>
        <v>0</v>
      </c>
      <c r="AG92" s="386">
        <f>IF(OR($AB92=0,$AB92&gt;40),0,INDEX('Devel Overrides'!H$28:H$68,$AB92+1,1)*$AB$86+INDEX('Devel Overrides'!H$28:H$68,$AB92,1)*$AC$87)*'Devel Overrides'!$F$19</f>
        <v>0</v>
      </c>
      <c r="AH92" s="386">
        <f>IF(OR($AB92=0,$AB92&gt;40),0,INDEX('Devel Overrides'!I$28:I$68,$AB92+1,1)*$AB$86+INDEX('Devel Overrides'!I$28:I$68,$AB92,1)*$AC$87)*'Devel Overrides'!$F$19</f>
        <v>0</v>
      </c>
      <c r="AI92" s="386">
        <f>IF(OR($AB92=0,$AB92&gt;40),0,INDEX('Devel Overrides'!J$28:J$68,$AB92+1,1)*$AB$86+INDEX('Devel Overrides'!J$28:J$68,$AB92,1)*$AC$87)*'Devel Overrides'!$F$19</f>
        <v>0</v>
      </c>
      <c r="AJ92" s="386">
        <f>IF(OR($AB92=0,$AB92&gt;40),0,INDEX('Devel Overrides'!K$28:K$68,$AB92+1,1)*$AB$86+INDEX('Devel Overrides'!K$28:K$68,$AB92,1)*$AC$87)*'Devel Overrides'!$F$19</f>
        <v>0</v>
      </c>
      <c r="AK92" s="386">
        <f>IF(OR($AB92=0,$AB92&gt;40),0,INDEX('Devel Overrides'!L$28:L$68,$AB92+1,1)*$AB$86+INDEX('Devel Overrides'!L$28:L$68,$AB92,1)*$AC$87)*'Devel Overrides'!$F$19</f>
        <v>0</v>
      </c>
      <c r="AL92" s="64"/>
      <c r="AM92" s="107">
        <f>B92*'Selected Economics'!$J11*'Sensitivity Ranges'!$F$43</f>
        <v>0</v>
      </c>
      <c r="AN92" s="107">
        <f>IF($AB$85=1,AC92,Q92)*'Selected Economics'!$J11*'Sensitivity Ranges'!$F$43</f>
        <v>0</v>
      </c>
      <c r="AO92" s="107">
        <f>IF($AB$85=1,AD92,R92)*'Selected Economics'!$J11*'Sensitivity Ranges'!$F$43</f>
        <v>0</v>
      </c>
      <c r="AP92" s="107">
        <f>IF($AB$85=1,AE92,S92)*'Selected Economics'!$J11*'Sensitivity Ranges'!$F$43</f>
        <v>0</v>
      </c>
      <c r="AQ92" s="107">
        <f>IF($AB$85=1,AF92,T92)*'Selected Economics'!$J11*'Sensitivity Ranges'!$F$43</f>
        <v>0</v>
      </c>
      <c r="AR92" s="107">
        <f>IF($AB$85=1,AG92,U92)*'Selected Economics'!$J11*'Sensitivity Ranges'!$F$43</f>
        <v>0</v>
      </c>
      <c r="AS92" s="107">
        <f>IF($AB$85=1,AH92,V92)*'Selected Economics'!$J11*'Sensitivity Ranges'!$F$43</f>
        <v>0</v>
      </c>
      <c r="AT92" s="107">
        <f>IF($AB$85=1,AI92,W92)*'Selected Economics'!$J11*'Sensitivity Ranges'!$F$43</f>
        <v>0</v>
      </c>
      <c r="AU92" s="107">
        <f>IF($AB$85=1,AJ92,X92)*'Selected Economics'!$J11*'Sensitivity Ranges'!$F$43</f>
        <v>0</v>
      </c>
      <c r="AV92" s="107">
        <f>IF($AB$85=1,AK92,Y92)*'Selected Economics'!$J11*'Sensitivity Ranges'!$F$43</f>
        <v>0</v>
      </c>
      <c r="AW92" s="107">
        <f>SUM(AM92:AV92)</f>
        <v>0</v>
      </c>
      <c r="AX92" s="121"/>
      <c r="AY92" s="107">
        <f>AM92</f>
        <v>0</v>
      </c>
      <c r="AZ92" s="107">
        <f>AN92*Abandonment!$H16</f>
        <v>0</v>
      </c>
      <c r="BA92" s="107">
        <f>AO92*Abandonment!$H16</f>
        <v>0</v>
      </c>
      <c r="BB92" s="107">
        <f>AP92*Abandonment!$H16</f>
        <v>0</v>
      </c>
      <c r="BC92" s="107">
        <f>AQ92*Abandonment!$H16</f>
        <v>0</v>
      </c>
      <c r="BD92" s="107">
        <f>AR92*Abandonment!$H16</f>
        <v>0</v>
      </c>
      <c r="BE92" s="107">
        <f>AS92*Abandonment!$H16</f>
        <v>0</v>
      </c>
      <c r="BF92" s="107">
        <f>AT92*Abandonment!$H16</f>
        <v>0</v>
      </c>
      <c r="BG92" s="107">
        <f>AU92*Abandonment!$H16</f>
        <v>0</v>
      </c>
      <c r="BH92" s="107">
        <f>AV92*Abandonment!$H16</f>
        <v>0</v>
      </c>
      <c r="BI92" s="107">
        <f>SUM(AY92:BH92)</f>
        <v>0</v>
      </c>
      <c r="BJ92" s="121"/>
      <c r="BK92" s="107">
        <f>AZ92+Exploration!R37</f>
        <v>0</v>
      </c>
      <c r="BL92" s="109">
        <f>AY92+(BA92+BB92+BC92+IF(Input!$B$17="Shore",0,Development!BD92)+BE92)*(1+'Cost Assumptions'!$O$101)+BF92</f>
        <v>0</v>
      </c>
      <c r="BM92" s="107">
        <f>IF(Input!$B$17="Shore",Development!BD92,0)*(1+'Cost Assumptions'!$O$101)+BG92</f>
        <v>0</v>
      </c>
      <c r="BN92" s="105"/>
      <c r="BO92" s="105"/>
      <c r="BP92" s="107">
        <f t="shared" ref="BP92:BP131" si="37">BI92*(1+$BP$89)</f>
        <v>0</v>
      </c>
      <c r="BQ92" s="145"/>
      <c r="BR92" s="105"/>
      <c r="BS92" s="109">
        <f t="shared" ref="BS92:BS131" ca="1" si="38">AY92*BS$89</f>
        <v>0</v>
      </c>
      <c r="BT92" s="109">
        <f t="shared" ref="BT92:BT131" ca="1" si="39">AZ92*BT$89</f>
        <v>0</v>
      </c>
      <c r="BU92" s="109">
        <f t="shared" ref="BU92:BU131" ca="1" si="40">BA92*BU$89</f>
        <v>0</v>
      </c>
      <c r="BV92" s="109">
        <f t="shared" ref="BV92:BV131" ca="1" si="41">BB92*BV$89</f>
        <v>0</v>
      </c>
      <c r="BW92" s="109">
        <f t="shared" ref="BW92:BW131" ca="1" si="42">BC92*BW$89</f>
        <v>0</v>
      </c>
      <c r="BX92" s="109">
        <f t="shared" ref="BX92:BX131" ca="1" si="43">BD92*BX$89</f>
        <v>0</v>
      </c>
      <c r="BY92" s="109">
        <f t="shared" ref="BY92:BY131" ca="1" si="44">BE92*BY$89</f>
        <v>0</v>
      </c>
      <c r="BZ92" s="109">
        <f t="shared" ref="BZ92:BZ131" ca="1" si="45">BF92*BZ$89</f>
        <v>0</v>
      </c>
      <c r="CA92" s="109">
        <f t="shared" ref="CA92:CA131" ca="1" si="46">BG92*CA$89</f>
        <v>0</v>
      </c>
      <c r="CB92" s="109">
        <f t="shared" ref="CB92:CB131" ca="1" si="47">BH92*CB$89</f>
        <v>0</v>
      </c>
      <c r="CC92" s="107">
        <f ca="1">SUM(BS92:CB92)</f>
        <v>0</v>
      </c>
      <c r="CD92" s="105"/>
      <c r="CE92" s="107">
        <f>SUM(BA92:BH92)</f>
        <v>0</v>
      </c>
    </row>
    <row r="93" spans="1:83">
      <c r="A93" s="90">
        <f>A92+1</f>
        <v>2024</v>
      </c>
      <c r="B93" s="109">
        <f t="shared" si="32"/>
        <v>0</v>
      </c>
      <c r="C93" s="109">
        <f t="shared" si="33"/>
        <v>0</v>
      </c>
      <c r="D93" s="109">
        <f t="shared" si="33"/>
        <v>0</v>
      </c>
      <c r="E93" s="109">
        <f t="shared" si="33"/>
        <v>0</v>
      </c>
      <c r="F93" s="109">
        <f t="shared" si="33"/>
        <v>0</v>
      </c>
      <c r="G93" s="109">
        <f t="shared" si="33"/>
        <v>0</v>
      </c>
      <c r="H93" s="109">
        <f t="shared" si="33"/>
        <v>0</v>
      </c>
      <c r="I93" s="109">
        <f t="shared" si="33"/>
        <v>0</v>
      </c>
      <c r="J93" s="109">
        <f t="shared" si="33"/>
        <v>0</v>
      </c>
      <c r="K93" s="109">
        <f t="shared" si="33"/>
        <v>0</v>
      </c>
      <c r="L93" s="109">
        <f t="shared" si="33"/>
        <v>0</v>
      </c>
      <c r="M93" s="109">
        <f t="shared" si="33"/>
        <v>0</v>
      </c>
      <c r="N93" s="109">
        <f t="shared" si="33"/>
        <v>0</v>
      </c>
      <c r="O93" s="109">
        <f t="shared" si="33"/>
        <v>0</v>
      </c>
      <c r="P93" s="109">
        <f t="shared" si="33"/>
        <v>0</v>
      </c>
      <c r="Q93" s="109">
        <f t="shared" ref="Q93:Q131" si="48">SUM(C93:P93)</f>
        <v>0</v>
      </c>
      <c r="R93" s="109">
        <f t="shared" si="34"/>
        <v>0</v>
      </c>
      <c r="S93" s="109">
        <f t="shared" si="34"/>
        <v>0</v>
      </c>
      <c r="T93" s="109">
        <f t="shared" si="34"/>
        <v>0</v>
      </c>
      <c r="U93" s="109">
        <f t="shared" si="34"/>
        <v>0</v>
      </c>
      <c r="V93" s="109">
        <f>'Cost Assumptions'!$O$100*SUM(Development!R93:U93)</f>
        <v>0</v>
      </c>
      <c r="W93" s="109">
        <f>IF(A93=YEAR($B$57),$B$79/1000,0)</f>
        <v>0</v>
      </c>
      <c r="X93" s="109">
        <f t="shared" ref="X93:X131" si="49">IF(A93=$D$80,$B$80/1000,0)</f>
        <v>0</v>
      </c>
      <c r="Y93" s="109">
        <f>'Cost Assumptions'!$O$101*SUM(Development!R93:V93)</f>
        <v>0</v>
      </c>
      <c r="Z93" s="109">
        <f t="shared" si="35"/>
        <v>0</v>
      </c>
      <c r="AA93" s="121">
        <f t="shared" ref="AA93:AA100" si="50">Z93-B93</f>
        <v>0</v>
      </c>
      <c r="AB93" s="148">
        <f t="shared" si="36"/>
        <v>0</v>
      </c>
      <c r="AC93" s="387">
        <f>IF(OR($AB93=0,$AB93&gt;40),0,INDEX('Devel Overrides'!D$28:D$68,$AB93+1,1)*$AB$86+INDEX('Devel Overrides'!D$28:D$68,$AB93,1)*$AC$87)*'Devel Overrides'!$F$19</f>
        <v>0</v>
      </c>
      <c r="AD93" s="387">
        <f>IF(OR($AB93=0,$AB93&gt;40),0,INDEX('Devel Overrides'!E$28:E$68,$AB93+1,1)*$AB$86+INDEX('Devel Overrides'!E$28:E$68,$AB93,1)*$AC$87)*'Devel Overrides'!$F$19</f>
        <v>0</v>
      </c>
      <c r="AE93" s="387">
        <f>IF(OR($AB93=0,$AB93&gt;40),0,INDEX('Devel Overrides'!F$28:F$68,$AB93+1,1)*$AB$86+INDEX('Devel Overrides'!F$28:F$68,$AB93,1)*$AC$87)*'Devel Overrides'!$F$19</f>
        <v>0</v>
      </c>
      <c r="AF93" s="387">
        <f>IF(OR($AB93=0,$AB93&gt;40),0,INDEX('Devel Overrides'!G$28:G$68,$AB93+1,1)*$AB$86+INDEX('Devel Overrides'!G$28:G$68,$AB93,1)*$AC$87)*'Devel Overrides'!$F$19</f>
        <v>0</v>
      </c>
      <c r="AG93" s="387">
        <f>IF(OR($AB93=0,$AB93&gt;40),0,INDEX('Devel Overrides'!H$28:H$68,$AB93+1,1)*$AB$86+INDEX('Devel Overrides'!H$28:H$68,$AB93,1)*$AC$87)*'Devel Overrides'!$F$19</f>
        <v>0</v>
      </c>
      <c r="AH93" s="387">
        <f>IF(OR($AB93=0,$AB93&gt;40),0,INDEX('Devel Overrides'!I$28:I$68,$AB93+1,1)*$AB$86+INDEX('Devel Overrides'!I$28:I$68,$AB93,1)*$AC$87)*'Devel Overrides'!$F$19</f>
        <v>0</v>
      </c>
      <c r="AI93" s="387">
        <f>IF(OR($AB93=0,$AB93&gt;40),0,INDEX('Devel Overrides'!J$28:J$68,$AB93+1,1)*$AB$86+INDEX('Devel Overrides'!J$28:J$68,$AB93,1)*$AC$87)*'Devel Overrides'!$F$19</f>
        <v>0</v>
      </c>
      <c r="AJ93" s="387">
        <f>IF(OR($AB93=0,$AB93&gt;40),0,INDEX('Devel Overrides'!K$28:K$68,$AB93+1,1)*$AB$86+INDEX('Devel Overrides'!K$28:K$68,$AB93,1)*$AC$87)*'Devel Overrides'!$F$19</f>
        <v>0</v>
      </c>
      <c r="AK93" s="387">
        <f>IF(OR($AB93=0,$AB93&gt;40),0,INDEX('Devel Overrides'!L$28:L$68,$AB93+1,1)*$AB$86+INDEX('Devel Overrides'!L$28:L$68,$AB93,1)*$AC$87)*'Devel Overrides'!$F$19</f>
        <v>0</v>
      </c>
      <c r="AL93" s="64"/>
      <c r="AM93" s="109">
        <f>B93*'Selected Economics'!$J12*'Sensitivity Ranges'!$F$43</f>
        <v>0</v>
      </c>
      <c r="AN93" s="109">
        <f>IF($AB$85=1,AC93,Q93)*'Selected Economics'!$J12*'Sensitivity Ranges'!$F$43</f>
        <v>0</v>
      </c>
      <c r="AO93" s="109">
        <f>IF($AB$85=1,AD93,R93)*'Selected Economics'!$J12*'Sensitivity Ranges'!$F$43</f>
        <v>0</v>
      </c>
      <c r="AP93" s="109">
        <f>IF($AB$85=1,AE93,S93)*'Selected Economics'!$J12*'Sensitivity Ranges'!$F$43</f>
        <v>0</v>
      </c>
      <c r="AQ93" s="109">
        <f>IF($AB$85=1,AF93,T93)*'Selected Economics'!$J12*'Sensitivity Ranges'!$F$43</f>
        <v>0</v>
      </c>
      <c r="AR93" s="109">
        <f>IF($AB$85=1,AG93,U93)*'Selected Economics'!$J12*'Sensitivity Ranges'!$F$43</f>
        <v>0</v>
      </c>
      <c r="AS93" s="109">
        <f>IF($AB$85=1,AH93,V93)*'Selected Economics'!$J12*'Sensitivity Ranges'!$F$43</f>
        <v>0</v>
      </c>
      <c r="AT93" s="109">
        <f>IF($AB$85=1,AI93,W93)*'Selected Economics'!$J12*'Sensitivity Ranges'!$F$43</f>
        <v>0</v>
      </c>
      <c r="AU93" s="109">
        <f>IF($AB$85=1,AJ93,X93)*'Selected Economics'!$J12*'Sensitivity Ranges'!$F$43</f>
        <v>0</v>
      </c>
      <c r="AV93" s="109">
        <f>IF($AB$85=1,AK93,Y93)*'Selected Economics'!$J12*'Sensitivity Ranges'!$F$43</f>
        <v>0</v>
      </c>
      <c r="AW93" s="109">
        <f t="shared" ref="AW93:AW131" si="51">SUM(AM93:AV93)</f>
        <v>0</v>
      </c>
      <c r="AX93" s="121"/>
      <c r="AY93" s="109">
        <f>AM93</f>
        <v>0</v>
      </c>
      <c r="AZ93" s="109">
        <f>AN93*Abandonment!$H17</f>
        <v>0</v>
      </c>
      <c r="BA93" s="109">
        <f>AO93*Abandonment!$H17</f>
        <v>0</v>
      </c>
      <c r="BB93" s="109">
        <f>AP93*Abandonment!$H17</f>
        <v>0</v>
      </c>
      <c r="BC93" s="109">
        <f>AQ93*Abandonment!$H17</f>
        <v>0</v>
      </c>
      <c r="BD93" s="109">
        <f>AR93*Abandonment!$H17</f>
        <v>0</v>
      </c>
      <c r="BE93" s="109">
        <f>AS93*Abandonment!$H17</f>
        <v>0</v>
      </c>
      <c r="BF93" s="109">
        <f>AT93*Abandonment!$H17</f>
        <v>0</v>
      </c>
      <c r="BG93" s="109">
        <f>AU93*Abandonment!$H17</f>
        <v>0</v>
      </c>
      <c r="BH93" s="109">
        <f>AV93*Abandonment!$H17</f>
        <v>0</v>
      </c>
      <c r="BI93" s="109">
        <f t="shared" ref="BI93:BI131" si="52">SUM(AY93:BH93)</f>
        <v>0</v>
      </c>
      <c r="BJ93" s="121"/>
      <c r="BK93" s="109">
        <f>AZ93+Exploration!R38</f>
        <v>0</v>
      </c>
      <c r="BL93" s="109">
        <f>AY93+(BA93+BB93+BC93+IF(Input!$B$17="Shore",0,Development!BD93)+BE93)*(1+'Cost Assumptions'!$O$101)+BF93</f>
        <v>0</v>
      </c>
      <c r="BM93" s="109">
        <f>IF(Input!$B$17="Shore",Development!BD93,0)*(1+'Cost Assumptions'!$O$101)+BG93</f>
        <v>0</v>
      </c>
      <c r="BN93" s="105"/>
      <c r="BO93" s="105"/>
      <c r="BP93" s="109">
        <f t="shared" si="37"/>
        <v>0</v>
      </c>
      <c r="BQ93" s="145"/>
      <c r="BR93" s="105"/>
      <c r="BS93" s="109">
        <f t="shared" ca="1" si="38"/>
        <v>0</v>
      </c>
      <c r="BT93" s="109">
        <f t="shared" ca="1" si="39"/>
        <v>0</v>
      </c>
      <c r="BU93" s="109">
        <f t="shared" ca="1" si="40"/>
        <v>0</v>
      </c>
      <c r="BV93" s="109">
        <f t="shared" ca="1" si="41"/>
        <v>0</v>
      </c>
      <c r="BW93" s="109">
        <f t="shared" ca="1" si="42"/>
        <v>0</v>
      </c>
      <c r="BX93" s="109">
        <f t="shared" ca="1" si="43"/>
        <v>0</v>
      </c>
      <c r="BY93" s="109">
        <f t="shared" ca="1" si="44"/>
        <v>0</v>
      </c>
      <c r="BZ93" s="109">
        <f t="shared" ca="1" si="45"/>
        <v>0</v>
      </c>
      <c r="CA93" s="109">
        <f t="shared" ca="1" si="46"/>
        <v>0</v>
      </c>
      <c r="CB93" s="109">
        <f t="shared" ca="1" si="47"/>
        <v>0</v>
      </c>
      <c r="CC93" s="109">
        <f t="shared" ref="CC93:CC131" ca="1" si="53">SUM(BS93:CB93)</f>
        <v>0</v>
      </c>
      <c r="CD93" s="105"/>
      <c r="CE93" s="109">
        <f t="shared" ref="CE93:CE131" si="54">SUM(BA93:BH93)</f>
        <v>0</v>
      </c>
    </row>
    <row r="94" spans="1:83">
      <c r="A94" s="90">
        <f t="shared" ref="A94:A131" si="55">A93+1</f>
        <v>2025</v>
      </c>
      <c r="B94" s="109">
        <f t="shared" si="32"/>
        <v>0</v>
      </c>
      <c r="C94" s="109">
        <f t="shared" si="33"/>
        <v>0</v>
      </c>
      <c r="D94" s="109">
        <f t="shared" si="33"/>
        <v>0</v>
      </c>
      <c r="E94" s="109">
        <f t="shared" si="33"/>
        <v>0</v>
      </c>
      <c r="F94" s="109">
        <f t="shared" si="33"/>
        <v>0</v>
      </c>
      <c r="G94" s="109">
        <f t="shared" si="33"/>
        <v>0</v>
      </c>
      <c r="H94" s="109">
        <f t="shared" si="33"/>
        <v>0</v>
      </c>
      <c r="I94" s="109">
        <f t="shared" si="33"/>
        <v>0</v>
      </c>
      <c r="J94" s="109">
        <f t="shared" si="33"/>
        <v>0</v>
      </c>
      <c r="K94" s="109">
        <f t="shared" si="33"/>
        <v>0</v>
      </c>
      <c r="L94" s="109">
        <f t="shared" si="33"/>
        <v>0</v>
      </c>
      <c r="M94" s="109">
        <f t="shared" si="33"/>
        <v>0</v>
      </c>
      <c r="N94" s="109">
        <f t="shared" si="33"/>
        <v>0</v>
      </c>
      <c r="O94" s="109">
        <f t="shared" si="33"/>
        <v>0</v>
      </c>
      <c r="P94" s="109">
        <f t="shared" si="33"/>
        <v>0</v>
      </c>
      <c r="Q94" s="109">
        <f t="shared" si="48"/>
        <v>0</v>
      </c>
      <c r="R94" s="109">
        <f t="shared" si="34"/>
        <v>0</v>
      </c>
      <c r="S94" s="109">
        <f t="shared" si="34"/>
        <v>0</v>
      </c>
      <c r="T94" s="109">
        <f t="shared" si="34"/>
        <v>0</v>
      </c>
      <c r="U94" s="109">
        <f t="shared" si="34"/>
        <v>0</v>
      </c>
      <c r="V94" s="109">
        <f>'Cost Assumptions'!$O$100*SUM(Development!R94:U94)</f>
        <v>0</v>
      </c>
      <c r="W94" s="109">
        <f t="shared" ref="W94:W131" si="56">IF(A94=YEAR($B$57),$B$79/1000,0)</f>
        <v>0</v>
      </c>
      <c r="X94" s="109">
        <f t="shared" si="49"/>
        <v>0</v>
      </c>
      <c r="Y94" s="109">
        <f>'Cost Assumptions'!$O$101*SUM(Development!R94:V94)</f>
        <v>0</v>
      </c>
      <c r="Z94" s="109">
        <f t="shared" si="35"/>
        <v>0</v>
      </c>
      <c r="AA94" s="121">
        <f t="shared" si="50"/>
        <v>0</v>
      </c>
      <c r="AB94" s="148">
        <f t="shared" si="36"/>
        <v>0</v>
      </c>
      <c r="AC94" s="387">
        <f>IF(OR($AB94=0,$AB94&gt;40),0,INDEX('Devel Overrides'!D$28:D$68,$AB94+1,1)*$AB$86+INDEX('Devel Overrides'!D$28:D$68,$AB94,1)*$AC$87)*'Devel Overrides'!$F$19</f>
        <v>0</v>
      </c>
      <c r="AD94" s="387">
        <f>IF(OR($AB94=0,$AB94&gt;40),0,INDEX('Devel Overrides'!E$28:E$68,$AB94+1,1)*$AB$86+INDEX('Devel Overrides'!E$28:E$68,$AB94,1)*$AC$87)*'Devel Overrides'!$F$19</f>
        <v>0</v>
      </c>
      <c r="AE94" s="387">
        <f>IF(OR($AB94=0,$AB94&gt;40),0,INDEX('Devel Overrides'!F$28:F$68,$AB94+1,1)*$AB$86+INDEX('Devel Overrides'!F$28:F$68,$AB94,1)*$AC$87)*'Devel Overrides'!$F$19</f>
        <v>0</v>
      </c>
      <c r="AF94" s="387">
        <f>IF(OR($AB94=0,$AB94&gt;40),0,INDEX('Devel Overrides'!G$28:G$68,$AB94+1,1)*$AB$86+INDEX('Devel Overrides'!G$28:G$68,$AB94,1)*$AC$87)*'Devel Overrides'!$F$19</f>
        <v>0</v>
      </c>
      <c r="AG94" s="387">
        <f>IF(OR($AB94=0,$AB94&gt;40),0,INDEX('Devel Overrides'!H$28:H$68,$AB94+1,1)*$AB$86+INDEX('Devel Overrides'!H$28:H$68,$AB94,1)*$AC$87)*'Devel Overrides'!$F$19</f>
        <v>0</v>
      </c>
      <c r="AH94" s="387">
        <f>IF(OR($AB94=0,$AB94&gt;40),0,INDEX('Devel Overrides'!I$28:I$68,$AB94+1,1)*$AB$86+INDEX('Devel Overrides'!I$28:I$68,$AB94,1)*$AC$87)*'Devel Overrides'!$F$19</f>
        <v>0</v>
      </c>
      <c r="AI94" s="387">
        <f>IF(OR($AB94=0,$AB94&gt;40),0,INDEX('Devel Overrides'!J$28:J$68,$AB94+1,1)*$AB$86+INDEX('Devel Overrides'!J$28:J$68,$AB94,1)*$AC$87)*'Devel Overrides'!$F$19</f>
        <v>0</v>
      </c>
      <c r="AJ94" s="387">
        <f>IF(OR($AB94=0,$AB94&gt;40),0,INDEX('Devel Overrides'!K$28:K$68,$AB94+1,1)*$AB$86+INDEX('Devel Overrides'!K$28:K$68,$AB94,1)*$AC$87)*'Devel Overrides'!$F$19</f>
        <v>0</v>
      </c>
      <c r="AK94" s="387">
        <f>IF(OR($AB94=0,$AB94&gt;40),0,INDEX('Devel Overrides'!L$28:L$68,$AB94+1,1)*$AB$86+INDEX('Devel Overrides'!L$28:L$68,$AB94,1)*$AC$87)*'Devel Overrides'!$F$19</f>
        <v>0</v>
      </c>
      <c r="AL94" s="64"/>
      <c r="AM94" s="109">
        <f>B94*'Selected Economics'!$J13*'Sensitivity Ranges'!$F$43</f>
        <v>0</v>
      </c>
      <c r="AN94" s="109">
        <f>IF($AB$85=1,AC94,Q94)*'Selected Economics'!$J13*'Sensitivity Ranges'!$F$43</f>
        <v>0</v>
      </c>
      <c r="AO94" s="109">
        <f>IF($AB$85=1,AD94,R94)*'Selected Economics'!$J13*'Sensitivity Ranges'!$F$43</f>
        <v>0</v>
      </c>
      <c r="AP94" s="109">
        <f>IF($AB$85=1,AE94,S94)*'Selected Economics'!$J13*'Sensitivity Ranges'!$F$43</f>
        <v>0</v>
      </c>
      <c r="AQ94" s="109">
        <f>IF($AB$85=1,AF94,T94)*'Selected Economics'!$J13*'Sensitivity Ranges'!$F$43</f>
        <v>0</v>
      </c>
      <c r="AR94" s="109">
        <f>IF($AB$85=1,AG94,U94)*'Selected Economics'!$J13*'Sensitivity Ranges'!$F$43</f>
        <v>0</v>
      </c>
      <c r="AS94" s="109">
        <f>IF($AB$85=1,AH94,V94)*'Selected Economics'!$J13*'Sensitivity Ranges'!$F$43</f>
        <v>0</v>
      </c>
      <c r="AT94" s="109">
        <f>IF($AB$85=1,AI94,W94)*'Selected Economics'!$J13*'Sensitivity Ranges'!$F$43</f>
        <v>0</v>
      </c>
      <c r="AU94" s="109">
        <f>IF($AB$85=1,AJ94,X94)*'Selected Economics'!$J13*'Sensitivity Ranges'!$F$43</f>
        <v>0</v>
      </c>
      <c r="AV94" s="109">
        <f>IF($AB$85=1,AK94,Y94)*'Selected Economics'!$J13*'Sensitivity Ranges'!$F$43</f>
        <v>0</v>
      </c>
      <c r="AW94" s="109">
        <f t="shared" si="51"/>
        <v>0</v>
      </c>
      <c r="AX94" s="121"/>
      <c r="AY94" s="109">
        <f>AM94</f>
        <v>0</v>
      </c>
      <c r="AZ94" s="109">
        <f>AN94*Abandonment!$H18</f>
        <v>0</v>
      </c>
      <c r="BA94" s="109">
        <f>AO94*Abandonment!$H18</f>
        <v>0</v>
      </c>
      <c r="BB94" s="109">
        <f>AP94*Abandonment!$H18</f>
        <v>0</v>
      </c>
      <c r="BC94" s="109">
        <f>AQ94*Abandonment!$H18</f>
        <v>0</v>
      </c>
      <c r="BD94" s="109">
        <f>AR94*Abandonment!$H18</f>
        <v>0</v>
      </c>
      <c r="BE94" s="109">
        <f>AS94*Abandonment!$H18</f>
        <v>0</v>
      </c>
      <c r="BF94" s="109">
        <f>AT94*Abandonment!$H18</f>
        <v>0</v>
      </c>
      <c r="BG94" s="109">
        <f>AU94*Abandonment!$H18</f>
        <v>0</v>
      </c>
      <c r="BH94" s="109">
        <f>AV94*Abandonment!$H18</f>
        <v>0</v>
      </c>
      <c r="BI94" s="109">
        <f t="shared" si="52"/>
        <v>0</v>
      </c>
      <c r="BJ94" s="121"/>
      <c r="BK94" s="109">
        <f>AZ94+Exploration!R39</f>
        <v>107.47665567431575</v>
      </c>
      <c r="BL94" s="109">
        <f>AY94+(BA94+BB94+BC94+IF(Input!$B$17="Shore",0,Development!BD94)+BE94)*(1+'Cost Assumptions'!$O$101)+BF94</f>
        <v>0</v>
      </c>
      <c r="BM94" s="109">
        <f>IF(Input!$B$17="Shore",Development!BD94,0)*(1+'Cost Assumptions'!$O$101)+BG94</f>
        <v>0</v>
      </c>
      <c r="BN94" s="105"/>
      <c r="BO94" s="105"/>
      <c r="BP94" s="109">
        <f t="shared" si="37"/>
        <v>0</v>
      </c>
      <c r="BQ94" s="145"/>
      <c r="BR94" s="105"/>
      <c r="BS94" s="109">
        <f t="shared" ca="1" si="38"/>
        <v>0</v>
      </c>
      <c r="BT94" s="109">
        <f t="shared" ca="1" si="39"/>
        <v>0</v>
      </c>
      <c r="BU94" s="109">
        <f t="shared" ca="1" si="40"/>
        <v>0</v>
      </c>
      <c r="BV94" s="109">
        <f t="shared" ca="1" si="41"/>
        <v>0</v>
      </c>
      <c r="BW94" s="109">
        <f t="shared" ca="1" si="42"/>
        <v>0</v>
      </c>
      <c r="BX94" s="109">
        <f t="shared" ca="1" si="43"/>
        <v>0</v>
      </c>
      <c r="BY94" s="109">
        <f t="shared" ca="1" si="44"/>
        <v>0</v>
      </c>
      <c r="BZ94" s="109">
        <f t="shared" ca="1" si="45"/>
        <v>0</v>
      </c>
      <c r="CA94" s="109">
        <f t="shared" ca="1" si="46"/>
        <v>0</v>
      </c>
      <c r="CB94" s="109">
        <f t="shared" ca="1" si="47"/>
        <v>0</v>
      </c>
      <c r="CC94" s="109">
        <f t="shared" ca="1" si="53"/>
        <v>0</v>
      </c>
      <c r="CD94" s="105"/>
      <c r="CE94" s="109">
        <f t="shared" si="54"/>
        <v>0</v>
      </c>
    </row>
    <row r="95" spans="1:83">
      <c r="A95" s="90">
        <f t="shared" si="55"/>
        <v>2026</v>
      </c>
      <c r="B95" s="109">
        <f t="shared" si="32"/>
        <v>0</v>
      </c>
      <c r="C95" s="109">
        <f t="shared" si="33"/>
        <v>0</v>
      </c>
      <c r="D95" s="109">
        <f t="shared" si="33"/>
        <v>0</v>
      </c>
      <c r="E95" s="109">
        <f t="shared" si="33"/>
        <v>0</v>
      </c>
      <c r="F95" s="109">
        <f t="shared" si="33"/>
        <v>0</v>
      </c>
      <c r="G95" s="109">
        <f t="shared" si="33"/>
        <v>0</v>
      </c>
      <c r="H95" s="109">
        <f t="shared" si="33"/>
        <v>0</v>
      </c>
      <c r="I95" s="109">
        <f t="shared" si="33"/>
        <v>0</v>
      </c>
      <c r="J95" s="109">
        <f t="shared" si="33"/>
        <v>0</v>
      </c>
      <c r="K95" s="109">
        <f t="shared" si="33"/>
        <v>0</v>
      </c>
      <c r="L95" s="109">
        <f t="shared" si="33"/>
        <v>0</v>
      </c>
      <c r="M95" s="109">
        <f t="shared" si="33"/>
        <v>0</v>
      </c>
      <c r="N95" s="109">
        <f t="shared" si="33"/>
        <v>0</v>
      </c>
      <c r="O95" s="109">
        <f t="shared" si="33"/>
        <v>0</v>
      </c>
      <c r="P95" s="109">
        <f t="shared" si="33"/>
        <v>0</v>
      </c>
      <c r="Q95" s="109">
        <f t="shared" si="48"/>
        <v>0</v>
      </c>
      <c r="R95" s="109">
        <f t="shared" si="34"/>
        <v>0</v>
      </c>
      <c r="S95" s="109">
        <f t="shared" si="34"/>
        <v>0</v>
      </c>
      <c r="T95" s="109">
        <f t="shared" si="34"/>
        <v>0</v>
      </c>
      <c r="U95" s="109">
        <f t="shared" si="34"/>
        <v>0</v>
      </c>
      <c r="V95" s="109">
        <f>'Cost Assumptions'!$O$100*SUM(Development!R95:U95)</f>
        <v>0</v>
      </c>
      <c r="W95" s="109">
        <f t="shared" si="56"/>
        <v>0</v>
      </c>
      <c r="X95" s="109">
        <f t="shared" si="49"/>
        <v>0</v>
      </c>
      <c r="Y95" s="109">
        <f>'Cost Assumptions'!$O$101*SUM(Development!R95:V95)</f>
        <v>0</v>
      </c>
      <c r="Z95" s="109">
        <f t="shared" si="35"/>
        <v>0</v>
      </c>
      <c r="AA95" s="121">
        <f t="shared" si="50"/>
        <v>0</v>
      </c>
      <c r="AB95" s="148">
        <f t="shared" si="36"/>
        <v>0</v>
      </c>
      <c r="AC95" s="387">
        <f>IF(OR($AB95=0,$AB95&gt;40),0,INDEX('Devel Overrides'!D$28:D$68,$AB95+1,1)*$AB$86+INDEX('Devel Overrides'!D$28:D$68,$AB95,1)*$AC$87)*'Devel Overrides'!$F$19</f>
        <v>0</v>
      </c>
      <c r="AD95" s="387">
        <f>IF(OR($AB95=0,$AB95&gt;40),0,INDEX('Devel Overrides'!E$28:E$68,$AB95+1,1)*$AB$86+INDEX('Devel Overrides'!E$28:E$68,$AB95,1)*$AC$87)*'Devel Overrides'!$F$19</f>
        <v>0</v>
      </c>
      <c r="AE95" s="387">
        <f>IF(OR($AB95=0,$AB95&gt;40),0,INDEX('Devel Overrides'!F$28:F$68,$AB95+1,1)*$AB$86+INDEX('Devel Overrides'!F$28:F$68,$AB95,1)*$AC$87)*'Devel Overrides'!$F$19</f>
        <v>0</v>
      </c>
      <c r="AF95" s="387">
        <f>IF(OR($AB95=0,$AB95&gt;40),0,INDEX('Devel Overrides'!G$28:G$68,$AB95+1,1)*$AB$86+INDEX('Devel Overrides'!G$28:G$68,$AB95,1)*$AC$87)*'Devel Overrides'!$F$19</f>
        <v>0</v>
      </c>
      <c r="AG95" s="387">
        <f>IF(OR($AB95=0,$AB95&gt;40),0,INDEX('Devel Overrides'!H$28:H$68,$AB95+1,1)*$AB$86+INDEX('Devel Overrides'!H$28:H$68,$AB95,1)*$AC$87)*'Devel Overrides'!$F$19</f>
        <v>0</v>
      </c>
      <c r="AH95" s="387">
        <f>IF(OR($AB95=0,$AB95&gt;40),0,INDEX('Devel Overrides'!I$28:I$68,$AB95+1,1)*$AB$86+INDEX('Devel Overrides'!I$28:I$68,$AB95,1)*$AC$87)*'Devel Overrides'!$F$19</f>
        <v>0</v>
      </c>
      <c r="AI95" s="387">
        <f>IF(OR($AB95=0,$AB95&gt;40),0,INDEX('Devel Overrides'!J$28:J$68,$AB95+1,1)*$AB$86+INDEX('Devel Overrides'!J$28:J$68,$AB95,1)*$AC$87)*'Devel Overrides'!$F$19</f>
        <v>0</v>
      </c>
      <c r="AJ95" s="387">
        <f>IF(OR($AB95=0,$AB95&gt;40),0,INDEX('Devel Overrides'!K$28:K$68,$AB95+1,1)*$AB$86+INDEX('Devel Overrides'!K$28:K$68,$AB95,1)*$AC$87)*'Devel Overrides'!$F$19</f>
        <v>0</v>
      </c>
      <c r="AK95" s="387">
        <f>IF(OR($AB95=0,$AB95&gt;40),0,INDEX('Devel Overrides'!L$28:L$68,$AB95+1,1)*$AB$86+INDEX('Devel Overrides'!L$28:L$68,$AB95,1)*$AC$87)*'Devel Overrides'!$F$19</f>
        <v>0</v>
      </c>
      <c r="AL95" s="64"/>
      <c r="AM95" s="109">
        <f>B95*'Selected Economics'!$J14*'Sensitivity Ranges'!$F$43</f>
        <v>0</v>
      </c>
      <c r="AN95" s="109">
        <f>IF($AB$85=1,AC95,Q95)*'Selected Economics'!$J14*'Sensitivity Ranges'!$F$43</f>
        <v>0</v>
      </c>
      <c r="AO95" s="109">
        <f>IF($AB$85=1,AD95,R95)*'Selected Economics'!$J14*'Sensitivity Ranges'!$F$43</f>
        <v>0</v>
      </c>
      <c r="AP95" s="109">
        <f>IF($AB$85=1,AE95,S95)*'Selected Economics'!$J14*'Sensitivity Ranges'!$F$43</f>
        <v>0</v>
      </c>
      <c r="AQ95" s="109">
        <f>IF($AB$85=1,AF95,T95)*'Selected Economics'!$J14*'Sensitivity Ranges'!$F$43</f>
        <v>0</v>
      </c>
      <c r="AR95" s="109">
        <f>IF($AB$85=1,AG95,U95)*'Selected Economics'!$J14*'Sensitivity Ranges'!$F$43</f>
        <v>0</v>
      </c>
      <c r="AS95" s="109">
        <f>IF($AB$85=1,AH95,V95)*'Selected Economics'!$J14*'Sensitivity Ranges'!$F$43</f>
        <v>0</v>
      </c>
      <c r="AT95" s="109">
        <f>IF($AB$85=1,AI95,W95)*'Selected Economics'!$J14*'Sensitivity Ranges'!$F$43</f>
        <v>0</v>
      </c>
      <c r="AU95" s="109">
        <f>IF($AB$85=1,AJ95,X95)*'Selected Economics'!$J14*'Sensitivity Ranges'!$F$43</f>
        <v>0</v>
      </c>
      <c r="AV95" s="109">
        <f>IF($AB$85=1,AK95,Y95)*'Selected Economics'!$J14*'Sensitivity Ranges'!$F$43</f>
        <v>0</v>
      </c>
      <c r="AW95" s="109">
        <f t="shared" si="51"/>
        <v>0</v>
      </c>
      <c r="AX95" s="121"/>
      <c r="AY95" s="109">
        <f t="shared" ref="AY95:AY131" si="57">AM95</f>
        <v>0</v>
      </c>
      <c r="AZ95" s="109">
        <f>AN95*Abandonment!$H19</f>
        <v>0</v>
      </c>
      <c r="BA95" s="109">
        <f>AO95*Abandonment!$H19</f>
        <v>0</v>
      </c>
      <c r="BB95" s="109">
        <f>AP95*Abandonment!$H19</f>
        <v>0</v>
      </c>
      <c r="BC95" s="109">
        <f>AQ95*Abandonment!$H19</f>
        <v>0</v>
      </c>
      <c r="BD95" s="109">
        <f>AR95*Abandonment!$H19</f>
        <v>0</v>
      </c>
      <c r="BE95" s="109">
        <f>AS95*Abandonment!$H19</f>
        <v>0</v>
      </c>
      <c r="BF95" s="109">
        <f>AT95*Abandonment!$H19</f>
        <v>0</v>
      </c>
      <c r="BG95" s="109">
        <f>AU95*Abandonment!$H19</f>
        <v>0</v>
      </c>
      <c r="BH95" s="109">
        <f>AV95*Abandonment!$H19</f>
        <v>0</v>
      </c>
      <c r="BI95" s="109">
        <f t="shared" si="52"/>
        <v>0</v>
      </c>
      <c r="BJ95" s="121"/>
      <c r="BK95" s="109">
        <f>AZ95+Exploration!R40</f>
        <v>221.40191068909044</v>
      </c>
      <c r="BL95" s="109">
        <f>AY95+(BA95+BB95+BC95+IF(Input!$B$17="Shore",0,Development!BD95)+BE95)*(1+'Cost Assumptions'!$O$101)+BF95</f>
        <v>0</v>
      </c>
      <c r="BM95" s="109">
        <f>IF(Input!$B$17="Shore",Development!BD95,0)*(1+'Cost Assumptions'!$O$101)+BG95</f>
        <v>0</v>
      </c>
      <c r="BN95" s="105"/>
      <c r="BO95" s="105"/>
      <c r="BP95" s="109">
        <f t="shared" si="37"/>
        <v>0</v>
      </c>
      <c r="BQ95" s="145"/>
      <c r="BR95" s="105"/>
      <c r="BS95" s="109">
        <f t="shared" ca="1" si="38"/>
        <v>0</v>
      </c>
      <c r="BT95" s="109">
        <f t="shared" ca="1" si="39"/>
        <v>0</v>
      </c>
      <c r="BU95" s="109">
        <f t="shared" ca="1" si="40"/>
        <v>0</v>
      </c>
      <c r="BV95" s="109">
        <f t="shared" ca="1" si="41"/>
        <v>0</v>
      </c>
      <c r="BW95" s="109">
        <f t="shared" ca="1" si="42"/>
        <v>0</v>
      </c>
      <c r="BX95" s="109">
        <f t="shared" ca="1" si="43"/>
        <v>0</v>
      </c>
      <c r="BY95" s="109">
        <f t="shared" ca="1" si="44"/>
        <v>0</v>
      </c>
      <c r="BZ95" s="109">
        <f t="shared" ca="1" si="45"/>
        <v>0</v>
      </c>
      <c r="CA95" s="109">
        <f t="shared" ca="1" si="46"/>
        <v>0</v>
      </c>
      <c r="CB95" s="109">
        <f t="shared" ca="1" si="47"/>
        <v>0</v>
      </c>
      <c r="CC95" s="109">
        <f t="shared" ca="1" si="53"/>
        <v>0</v>
      </c>
      <c r="CD95" s="105"/>
      <c r="CE95" s="109">
        <f t="shared" si="54"/>
        <v>0</v>
      </c>
    </row>
    <row r="96" spans="1:83">
      <c r="A96" s="90">
        <f t="shared" si="55"/>
        <v>2027</v>
      </c>
      <c r="B96" s="109">
        <f t="shared" si="32"/>
        <v>12.719595396226412</v>
      </c>
      <c r="C96" s="109">
        <f t="shared" si="33"/>
        <v>0</v>
      </c>
      <c r="D96" s="109">
        <f t="shared" si="33"/>
        <v>0</v>
      </c>
      <c r="E96" s="109">
        <f t="shared" si="33"/>
        <v>0</v>
      </c>
      <c r="F96" s="109">
        <f t="shared" si="33"/>
        <v>0</v>
      </c>
      <c r="G96" s="109">
        <f t="shared" si="33"/>
        <v>0</v>
      </c>
      <c r="H96" s="109">
        <f t="shared" si="33"/>
        <v>0</v>
      </c>
      <c r="I96" s="109">
        <f t="shared" si="33"/>
        <v>0</v>
      </c>
      <c r="J96" s="109">
        <f t="shared" si="33"/>
        <v>0</v>
      </c>
      <c r="K96" s="109">
        <f t="shared" si="33"/>
        <v>0</v>
      </c>
      <c r="L96" s="109">
        <f t="shared" si="33"/>
        <v>0</v>
      </c>
      <c r="M96" s="109">
        <f t="shared" si="33"/>
        <v>0</v>
      </c>
      <c r="N96" s="109">
        <f t="shared" si="33"/>
        <v>0</v>
      </c>
      <c r="O96" s="109">
        <f t="shared" si="33"/>
        <v>0</v>
      </c>
      <c r="P96" s="109">
        <f t="shared" si="33"/>
        <v>0</v>
      </c>
      <c r="Q96" s="109">
        <f t="shared" si="48"/>
        <v>0</v>
      </c>
      <c r="R96" s="109">
        <f t="shared" si="34"/>
        <v>0</v>
      </c>
      <c r="S96" s="109">
        <f t="shared" si="34"/>
        <v>0</v>
      </c>
      <c r="T96" s="109">
        <f t="shared" si="34"/>
        <v>0</v>
      </c>
      <c r="U96" s="109">
        <f t="shared" si="34"/>
        <v>0</v>
      </c>
      <c r="V96" s="109">
        <f>'Cost Assumptions'!$O$100*SUM(Development!R96:U96)</f>
        <v>0</v>
      </c>
      <c r="W96" s="109">
        <f t="shared" si="56"/>
        <v>0</v>
      </c>
      <c r="X96" s="109">
        <f t="shared" si="49"/>
        <v>0</v>
      </c>
      <c r="Y96" s="109">
        <f>'Cost Assumptions'!$O$101*SUM(Development!R96:V96)</f>
        <v>0</v>
      </c>
      <c r="Z96" s="109">
        <f t="shared" si="35"/>
        <v>12.719595396226412</v>
      </c>
      <c r="AA96" s="121">
        <f t="shared" si="50"/>
        <v>0</v>
      </c>
      <c r="AB96" s="148">
        <f t="shared" si="36"/>
        <v>0</v>
      </c>
      <c r="AC96" s="387">
        <f>IF(OR($AB96=0,$AB96&gt;40),0,INDEX('Devel Overrides'!D$28:D$68,$AB96+1,1)*$AB$86+INDEX('Devel Overrides'!D$28:D$68,$AB96,1)*$AC$87)*'Devel Overrides'!$F$19</f>
        <v>0</v>
      </c>
      <c r="AD96" s="387">
        <f>IF(OR($AB96=0,$AB96&gt;40),0,INDEX('Devel Overrides'!E$28:E$68,$AB96+1,1)*$AB$86+INDEX('Devel Overrides'!E$28:E$68,$AB96,1)*$AC$87)*'Devel Overrides'!$F$19</f>
        <v>0</v>
      </c>
      <c r="AE96" s="387">
        <f>IF(OR($AB96=0,$AB96&gt;40),0,INDEX('Devel Overrides'!F$28:F$68,$AB96+1,1)*$AB$86+INDEX('Devel Overrides'!F$28:F$68,$AB96,1)*$AC$87)*'Devel Overrides'!$F$19</f>
        <v>0</v>
      </c>
      <c r="AF96" s="387">
        <f>IF(OR($AB96=0,$AB96&gt;40),0,INDEX('Devel Overrides'!G$28:G$68,$AB96+1,1)*$AB$86+INDEX('Devel Overrides'!G$28:G$68,$AB96,1)*$AC$87)*'Devel Overrides'!$F$19</f>
        <v>0</v>
      </c>
      <c r="AG96" s="387">
        <f>IF(OR($AB96=0,$AB96&gt;40),0,INDEX('Devel Overrides'!H$28:H$68,$AB96+1,1)*$AB$86+INDEX('Devel Overrides'!H$28:H$68,$AB96,1)*$AC$87)*'Devel Overrides'!$F$19</f>
        <v>0</v>
      </c>
      <c r="AH96" s="387">
        <f>IF(OR($AB96=0,$AB96&gt;40),0,INDEX('Devel Overrides'!I$28:I$68,$AB96+1,1)*$AB$86+INDEX('Devel Overrides'!I$28:I$68,$AB96,1)*$AC$87)*'Devel Overrides'!$F$19</f>
        <v>0</v>
      </c>
      <c r="AI96" s="387">
        <f>IF(OR($AB96=0,$AB96&gt;40),0,INDEX('Devel Overrides'!J$28:J$68,$AB96+1,1)*$AB$86+INDEX('Devel Overrides'!J$28:J$68,$AB96,1)*$AC$87)*'Devel Overrides'!$F$19</f>
        <v>0</v>
      </c>
      <c r="AJ96" s="387">
        <f>IF(OR($AB96=0,$AB96&gt;40),0,INDEX('Devel Overrides'!K$28:K$68,$AB96+1,1)*$AB$86+INDEX('Devel Overrides'!K$28:K$68,$AB96,1)*$AC$87)*'Devel Overrides'!$F$19</f>
        <v>0</v>
      </c>
      <c r="AK96" s="387">
        <f>IF(OR($AB96=0,$AB96&gt;40),0,INDEX('Devel Overrides'!L$28:L$68,$AB96+1,1)*$AB$86+INDEX('Devel Overrides'!L$28:L$68,$AB96,1)*$AC$87)*'Devel Overrides'!$F$19</f>
        <v>0</v>
      </c>
      <c r="AL96" s="64"/>
      <c r="AM96" s="109">
        <f>B96*'Selected Economics'!$J15*'Sensitivity Ranges'!$F$43</f>
        <v>14.316016678088269</v>
      </c>
      <c r="AN96" s="109">
        <f>IF($AB$85=1,AC96,Q96)*'Selected Economics'!$J15*'Sensitivity Ranges'!$F$43</f>
        <v>0</v>
      </c>
      <c r="AO96" s="109">
        <f>IF($AB$85=1,AD96,R96)*'Selected Economics'!$J15*'Sensitivity Ranges'!$F$43</f>
        <v>0</v>
      </c>
      <c r="AP96" s="109">
        <f>IF($AB$85=1,AE96,S96)*'Selected Economics'!$J15*'Sensitivity Ranges'!$F$43</f>
        <v>0</v>
      </c>
      <c r="AQ96" s="109">
        <f>IF($AB$85=1,AF96,T96)*'Selected Economics'!$J15*'Sensitivity Ranges'!$F$43</f>
        <v>0</v>
      </c>
      <c r="AR96" s="109">
        <f>IF($AB$85=1,AG96,U96)*'Selected Economics'!$J15*'Sensitivity Ranges'!$F$43</f>
        <v>0</v>
      </c>
      <c r="AS96" s="109">
        <f>IF($AB$85=1,AH96,V96)*'Selected Economics'!$J15*'Sensitivity Ranges'!$F$43</f>
        <v>0</v>
      </c>
      <c r="AT96" s="109">
        <f>IF($AB$85=1,AI96,W96)*'Selected Economics'!$J15*'Sensitivity Ranges'!$F$43</f>
        <v>0</v>
      </c>
      <c r="AU96" s="109">
        <f>IF($AB$85=1,AJ96,X96)*'Selected Economics'!$J15*'Sensitivity Ranges'!$F$43</f>
        <v>0</v>
      </c>
      <c r="AV96" s="109">
        <f>IF($AB$85=1,AK96,Y96)*'Selected Economics'!$J15*'Sensitivity Ranges'!$F$43</f>
        <v>0</v>
      </c>
      <c r="AW96" s="109">
        <f t="shared" si="51"/>
        <v>14.316016678088269</v>
      </c>
      <c r="AX96" s="121"/>
      <c r="AY96" s="109">
        <f t="shared" si="57"/>
        <v>14.316016678088269</v>
      </c>
      <c r="AZ96" s="109">
        <f>AN96*Abandonment!$H20</f>
        <v>0</v>
      </c>
      <c r="BA96" s="109">
        <f>AO96*Abandonment!$H20</f>
        <v>0</v>
      </c>
      <c r="BB96" s="109">
        <f>AP96*Abandonment!$H20</f>
        <v>0</v>
      </c>
      <c r="BC96" s="109">
        <f>AQ96*Abandonment!$H20</f>
        <v>0</v>
      </c>
      <c r="BD96" s="109">
        <f>AR96*Abandonment!$H20</f>
        <v>0</v>
      </c>
      <c r="BE96" s="109">
        <f>AS96*Abandonment!$H20</f>
        <v>0</v>
      </c>
      <c r="BF96" s="109">
        <f>AT96*Abandonment!$H20</f>
        <v>0</v>
      </c>
      <c r="BG96" s="109">
        <f>AU96*Abandonment!$H20</f>
        <v>0</v>
      </c>
      <c r="BH96" s="109">
        <f>AV96*Abandonment!$H20</f>
        <v>0</v>
      </c>
      <c r="BI96" s="109">
        <f t="shared" si="52"/>
        <v>14.316016678088269</v>
      </c>
      <c r="BJ96" s="121"/>
      <c r="BK96" s="109">
        <f>AZ96+Exploration!R41</f>
        <v>0</v>
      </c>
      <c r="BL96" s="109">
        <f>AY96+(BA96+BB96+BC96+IF(Input!$B$17="Shore",0,Development!BD96)+BE96)*(1+'Cost Assumptions'!$O$101)+BF96</f>
        <v>14.316016678088269</v>
      </c>
      <c r="BM96" s="109">
        <f>IF(Input!$B$17="Shore",Development!BD96,0)*(1+'Cost Assumptions'!$O$101)+BG96</f>
        <v>0</v>
      </c>
      <c r="BN96" s="105"/>
      <c r="BO96" s="105"/>
      <c r="BP96" s="109">
        <f t="shared" si="37"/>
        <v>14.459176844869152</v>
      </c>
      <c r="BQ96" s="145"/>
      <c r="BR96" s="105"/>
      <c r="BS96" s="109">
        <f t="shared" ca="1" si="38"/>
        <v>14.316016678088269</v>
      </c>
      <c r="BT96" s="109">
        <f t="shared" ca="1" si="39"/>
        <v>0</v>
      </c>
      <c r="BU96" s="109">
        <f t="shared" ca="1" si="40"/>
        <v>0</v>
      </c>
      <c r="BV96" s="109">
        <f t="shared" ca="1" si="41"/>
        <v>0</v>
      </c>
      <c r="BW96" s="109">
        <f t="shared" ca="1" si="42"/>
        <v>0</v>
      </c>
      <c r="BX96" s="109">
        <f t="shared" ca="1" si="43"/>
        <v>0</v>
      </c>
      <c r="BY96" s="109">
        <f t="shared" ca="1" si="44"/>
        <v>0</v>
      </c>
      <c r="BZ96" s="109">
        <f t="shared" ca="1" si="45"/>
        <v>0</v>
      </c>
      <c r="CA96" s="109">
        <f t="shared" ca="1" si="46"/>
        <v>0</v>
      </c>
      <c r="CB96" s="109">
        <f t="shared" ca="1" si="47"/>
        <v>0</v>
      </c>
      <c r="CC96" s="109">
        <f t="shared" ca="1" si="53"/>
        <v>14.316016678088269</v>
      </c>
      <c r="CD96" s="109"/>
      <c r="CE96" s="109">
        <f t="shared" si="54"/>
        <v>0</v>
      </c>
    </row>
    <row r="97" spans="1:83">
      <c r="A97" s="90">
        <f t="shared" si="55"/>
        <v>2028</v>
      </c>
      <c r="B97" s="109">
        <f t="shared" si="32"/>
        <v>2.0966366037735842</v>
      </c>
      <c r="C97" s="109">
        <f t="shared" si="33"/>
        <v>0</v>
      </c>
      <c r="D97" s="109">
        <f t="shared" si="33"/>
        <v>0</v>
      </c>
      <c r="E97" s="109">
        <f t="shared" si="33"/>
        <v>0</v>
      </c>
      <c r="F97" s="109">
        <f t="shared" si="33"/>
        <v>0</v>
      </c>
      <c r="G97" s="109">
        <f t="shared" si="33"/>
        <v>0</v>
      </c>
      <c r="H97" s="109">
        <f t="shared" si="33"/>
        <v>0</v>
      </c>
      <c r="I97" s="109">
        <f t="shared" si="33"/>
        <v>0</v>
      </c>
      <c r="J97" s="109">
        <f t="shared" si="33"/>
        <v>0</v>
      </c>
      <c r="K97" s="109">
        <f t="shared" si="33"/>
        <v>0</v>
      </c>
      <c r="L97" s="109">
        <f t="shared" si="33"/>
        <v>0</v>
      </c>
      <c r="M97" s="109">
        <f t="shared" si="33"/>
        <v>0</v>
      </c>
      <c r="N97" s="109">
        <f t="shared" si="33"/>
        <v>0</v>
      </c>
      <c r="O97" s="109">
        <f t="shared" si="33"/>
        <v>0</v>
      </c>
      <c r="P97" s="109">
        <f t="shared" si="33"/>
        <v>0</v>
      </c>
      <c r="Q97" s="109">
        <f t="shared" si="48"/>
        <v>0</v>
      </c>
      <c r="R97" s="109">
        <f t="shared" si="34"/>
        <v>0</v>
      </c>
      <c r="S97" s="109">
        <f t="shared" si="34"/>
        <v>0</v>
      </c>
      <c r="T97" s="109">
        <f t="shared" si="34"/>
        <v>0</v>
      </c>
      <c r="U97" s="109">
        <f t="shared" si="34"/>
        <v>0</v>
      </c>
      <c r="V97" s="109">
        <f>'Cost Assumptions'!$O$100*SUM(Development!R97:U97)</f>
        <v>0</v>
      </c>
      <c r="W97" s="109">
        <f t="shared" si="56"/>
        <v>0</v>
      </c>
      <c r="X97" s="109">
        <f t="shared" si="49"/>
        <v>0</v>
      </c>
      <c r="Y97" s="109">
        <f>'Cost Assumptions'!$O$101*SUM(Development!R97:V97)</f>
        <v>0</v>
      </c>
      <c r="Z97" s="109">
        <f t="shared" si="35"/>
        <v>2.0966366037735842</v>
      </c>
      <c r="AA97" s="121">
        <f t="shared" si="50"/>
        <v>0</v>
      </c>
      <c r="AB97" s="148">
        <f t="shared" si="36"/>
        <v>0</v>
      </c>
      <c r="AC97" s="387">
        <f>IF(OR($AB97=0,$AB97&gt;40),0,INDEX('Devel Overrides'!D$28:D$68,$AB97+1,1)*$AB$86+INDEX('Devel Overrides'!D$28:D$68,$AB97,1)*$AC$87)*'Devel Overrides'!$F$19</f>
        <v>0</v>
      </c>
      <c r="AD97" s="387">
        <f>IF(OR($AB97=0,$AB97&gt;40),0,INDEX('Devel Overrides'!E$28:E$68,$AB97+1,1)*$AB$86+INDEX('Devel Overrides'!E$28:E$68,$AB97,1)*$AC$87)*'Devel Overrides'!$F$19</f>
        <v>0</v>
      </c>
      <c r="AE97" s="387">
        <f>IF(OR($AB97=0,$AB97&gt;40),0,INDEX('Devel Overrides'!F$28:F$68,$AB97+1,1)*$AB$86+INDEX('Devel Overrides'!F$28:F$68,$AB97,1)*$AC$87)*'Devel Overrides'!$F$19</f>
        <v>0</v>
      </c>
      <c r="AF97" s="387">
        <f>IF(OR($AB97=0,$AB97&gt;40),0,INDEX('Devel Overrides'!G$28:G$68,$AB97+1,1)*$AB$86+INDEX('Devel Overrides'!G$28:G$68,$AB97,1)*$AC$87)*'Devel Overrides'!$F$19</f>
        <v>0</v>
      </c>
      <c r="AG97" s="387">
        <f>IF(OR($AB97=0,$AB97&gt;40),0,INDEX('Devel Overrides'!H$28:H$68,$AB97+1,1)*$AB$86+INDEX('Devel Overrides'!H$28:H$68,$AB97,1)*$AC$87)*'Devel Overrides'!$F$19</f>
        <v>0</v>
      </c>
      <c r="AH97" s="387">
        <f>IF(OR($AB97=0,$AB97&gt;40),0,INDEX('Devel Overrides'!I$28:I$68,$AB97+1,1)*$AB$86+INDEX('Devel Overrides'!I$28:I$68,$AB97,1)*$AC$87)*'Devel Overrides'!$F$19</f>
        <v>0</v>
      </c>
      <c r="AI97" s="387">
        <f>IF(OR($AB97=0,$AB97&gt;40),0,INDEX('Devel Overrides'!J$28:J$68,$AB97+1,1)*$AB$86+INDEX('Devel Overrides'!J$28:J$68,$AB97,1)*$AC$87)*'Devel Overrides'!$F$19</f>
        <v>0</v>
      </c>
      <c r="AJ97" s="387">
        <f>IF(OR($AB97=0,$AB97&gt;40),0,INDEX('Devel Overrides'!K$28:K$68,$AB97+1,1)*$AB$86+INDEX('Devel Overrides'!K$28:K$68,$AB97,1)*$AC$87)*'Devel Overrides'!$F$19</f>
        <v>0</v>
      </c>
      <c r="AK97" s="387">
        <f>IF(OR($AB97=0,$AB97&gt;40),0,INDEX('Devel Overrides'!L$28:L$68,$AB97+1,1)*$AB$86+INDEX('Devel Overrides'!L$28:L$68,$AB97,1)*$AC$87)*'Devel Overrides'!$F$19</f>
        <v>0</v>
      </c>
      <c r="AL97" s="64"/>
      <c r="AM97" s="109">
        <f>B97*'Selected Economics'!$J16*'Sensitivity Ranges'!$F$43</f>
        <v>2.4305764579831179</v>
      </c>
      <c r="AN97" s="109">
        <f>IF($AB$85=1,AC97,Q97)*'Selected Economics'!$J16*'Sensitivity Ranges'!$F$43</f>
        <v>0</v>
      </c>
      <c r="AO97" s="109">
        <f>IF($AB$85=1,AD97,R97)*'Selected Economics'!$J16*'Sensitivity Ranges'!$F$43</f>
        <v>0</v>
      </c>
      <c r="AP97" s="109">
        <f>IF($AB$85=1,AE97,S97)*'Selected Economics'!$J16*'Sensitivity Ranges'!$F$43</f>
        <v>0</v>
      </c>
      <c r="AQ97" s="109">
        <f>IF($AB$85=1,AF97,T97)*'Selected Economics'!$J16*'Sensitivity Ranges'!$F$43</f>
        <v>0</v>
      </c>
      <c r="AR97" s="109">
        <f>IF($AB$85=1,AG97,U97)*'Selected Economics'!$J16*'Sensitivity Ranges'!$F$43</f>
        <v>0</v>
      </c>
      <c r="AS97" s="109">
        <f>IF($AB$85=1,AH97,V97)*'Selected Economics'!$J16*'Sensitivity Ranges'!$F$43</f>
        <v>0</v>
      </c>
      <c r="AT97" s="109">
        <f>IF($AB$85=1,AI97,W97)*'Selected Economics'!$J16*'Sensitivity Ranges'!$F$43</f>
        <v>0</v>
      </c>
      <c r="AU97" s="109">
        <f>IF($AB$85=1,AJ97,X97)*'Selected Economics'!$J16*'Sensitivity Ranges'!$F$43</f>
        <v>0</v>
      </c>
      <c r="AV97" s="109">
        <f>IF($AB$85=1,AK97,Y97)*'Selected Economics'!$J16*'Sensitivity Ranges'!$F$43</f>
        <v>0</v>
      </c>
      <c r="AW97" s="109">
        <f t="shared" si="51"/>
        <v>2.4305764579831179</v>
      </c>
      <c r="AX97" s="121"/>
      <c r="AY97" s="109">
        <f t="shared" si="57"/>
        <v>2.4305764579831179</v>
      </c>
      <c r="AZ97" s="109">
        <f>AN97*Abandonment!$H21</f>
        <v>0</v>
      </c>
      <c r="BA97" s="109">
        <f>AO97*Abandonment!$H21</f>
        <v>0</v>
      </c>
      <c r="BB97" s="109">
        <f>AP97*Abandonment!$H21</f>
        <v>0</v>
      </c>
      <c r="BC97" s="109">
        <f>AQ97*Abandonment!$H21</f>
        <v>0</v>
      </c>
      <c r="BD97" s="109">
        <f>AR97*Abandonment!$H21</f>
        <v>0</v>
      </c>
      <c r="BE97" s="109">
        <f>AS97*Abandonment!$H21</f>
        <v>0</v>
      </c>
      <c r="BF97" s="109">
        <f>AT97*Abandonment!$H21</f>
        <v>0</v>
      </c>
      <c r="BG97" s="109">
        <f>AU97*Abandonment!$H21</f>
        <v>0</v>
      </c>
      <c r="BH97" s="109">
        <f>AV97*Abandonment!$H21</f>
        <v>0</v>
      </c>
      <c r="BI97" s="109">
        <f t="shared" si="52"/>
        <v>2.4305764579831179</v>
      </c>
      <c r="BJ97" s="121"/>
      <c r="BK97" s="109">
        <f>AZ97+Exploration!R42</f>
        <v>0</v>
      </c>
      <c r="BL97" s="109">
        <f>AY97+(BA97+BB97+BC97+IF(Input!$B$17="Shore",0,Development!BD97)+BE97)*(1+'Cost Assumptions'!$O$101)+BF97</f>
        <v>2.4305764579831179</v>
      </c>
      <c r="BM97" s="109">
        <f>IF(Input!$B$17="Shore",Development!BD97,0)*(1+'Cost Assumptions'!$O$101)+BG97</f>
        <v>0</v>
      </c>
      <c r="BN97" s="105"/>
      <c r="BO97" s="105"/>
      <c r="BP97" s="109">
        <f t="shared" si="37"/>
        <v>2.454882222562949</v>
      </c>
      <c r="BQ97" s="145"/>
      <c r="BR97" s="105"/>
      <c r="BS97" s="109">
        <f t="shared" ca="1" si="38"/>
        <v>2.4305764579831179</v>
      </c>
      <c r="BT97" s="109">
        <f t="shared" ca="1" si="39"/>
        <v>0</v>
      </c>
      <c r="BU97" s="109">
        <f t="shared" ca="1" si="40"/>
        <v>0</v>
      </c>
      <c r="BV97" s="109">
        <f t="shared" ca="1" si="41"/>
        <v>0</v>
      </c>
      <c r="BW97" s="109">
        <f t="shared" ca="1" si="42"/>
        <v>0</v>
      </c>
      <c r="BX97" s="109">
        <f t="shared" ca="1" si="43"/>
        <v>0</v>
      </c>
      <c r="BY97" s="109">
        <f t="shared" ca="1" si="44"/>
        <v>0</v>
      </c>
      <c r="BZ97" s="109">
        <f t="shared" ca="1" si="45"/>
        <v>0</v>
      </c>
      <c r="CA97" s="109">
        <f t="shared" ca="1" si="46"/>
        <v>0</v>
      </c>
      <c r="CB97" s="109">
        <f t="shared" ca="1" si="47"/>
        <v>0</v>
      </c>
      <c r="CC97" s="109">
        <f t="shared" ca="1" si="53"/>
        <v>2.4305764579831179</v>
      </c>
      <c r="CD97" s="109"/>
      <c r="CE97" s="109">
        <f t="shared" si="54"/>
        <v>0</v>
      </c>
    </row>
    <row r="98" spans="1:83">
      <c r="A98" s="90">
        <f t="shared" si="55"/>
        <v>2029</v>
      </c>
      <c r="B98" s="109">
        <f t="shared" si="32"/>
        <v>0</v>
      </c>
      <c r="C98" s="109">
        <f t="shared" si="33"/>
        <v>0</v>
      </c>
      <c r="D98" s="109">
        <f t="shared" si="33"/>
        <v>0</v>
      </c>
      <c r="E98" s="109">
        <f t="shared" si="33"/>
        <v>0</v>
      </c>
      <c r="F98" s="109">
        <f t="shared" si="33"/>
        <v>0</v>
      </c>
      <c r="G98" s="109">
        <f t="shared" si="33"/>
        <v>0</v>
      </c>
      <c r="H98" s="109">
        <f t="shared" si="33"/>
        <v>0</v>
      </c>
      <c r="I98" s="109">
        <f t="shared" si="33"/>
        <v>0</v>
      </c>
      <c r="J98" s="109">
        <f t="shared" si="33"/>
        <v>0</v>
      </c>
      <c r="K98" s="109">
        <f t="shared" si="33"/>
        <v>0</v>
      </c>
      <c r="L98" s="109">
        <f t="shared" si="33"/>
        <v>0</v>
      </c>
      <c r="M98" s="109">
        <f t="shared" si="33"/>
        <v>0</v>
      </c>
      <c r="N98" s="109">
        <f t="shared" si="33"/>
        <v>0</v>
      </c>
      <c r="O98" s="109">
        <f t="shared" si="33"/>
        <v>0</v>
      </c>
      <c r="P98" s="109">
        <f t="shared" si="33"/>
        <v>0</v>
      </c>
      <c r="Q98" s="109">
        <f t="shared" si="48"/>
        <v>0</v>
      </c>
      <c r="R98" s="109">
        <f t="shared" si="34"/>
        <v>297.01315384615384</v>
      </c>
      <c r="S98" s="109">
        <f t="shared" si="34"/>
        <v>0</v>
      </c>
      <c r="T98" s="109">
        <f t="shared" si="34"/>
        <v>0</v>
      </c>
      <c r="U98" s="109">
        <f t="shared" si="34"/>
        <v>0</v>
      </c>
      <c r="V98" s="109">
        <f>'Cost Assumptions'!$O$100*SUM(Development!R98:U98)</f>
        <v>32.671446923076921</v>
      </c>
      <c r="W98" s="109">
        <f t="shared" si="56"/>
        <v>0</v>
      </c>
      <c r="X98" s="109">
        <f t="shared" si="49"/>
        <v>0</v>
      </c>
      <c r="Y98" s="109">
        <f>'Cost Assumptions'!$O$101*SUM(Development!R98:V98)</f>
        <v>65.93692015384616</v>
      </c>
      <c r="Z98" s="109">
        <f t="shared" si="35"/>
        <v>395.6215209230769</v>
      </c>
      <c r="AA98" s="121">
        <f t="shared" si="50"/>
        <v>395.6215209230769</v>
      </c>
      <c r="AB98" s="148">
        <f t="shared" si="36"/>
        <v>1</v>
      </c>
      <c r="AC98" s="387">
        <f>IF(OR($AB98=0,$AB98&gt;40),0,INDEX('Devel Overrides'!D$28:D$68,$AB98+1,1)*$AB$86+INDEX('Devel Overrides'!D$28:D$68,$AB98,1)*$AC$87)*'Devel Overrides'!$F$19</f>
        <v>0</v>
      </c>
      <c r="AD98" s="387">
        <f>IF(OR($AB98=0,$AB98&gt;40),0,INDEX('Devel Overrides'!E$28:E$68,$AB98+1,1)*$AB$86+INDEX('Devel Overrides'!E$28:E$68,$AB98,1)*$AC$87)*'Devel Overrides'!$F$19</f>
        <v>0</v>
      </c>
      <c r="AE98" s="387">
        <f>IF(OR($AB98=0,$AB98&gt;40),0,INDEX('Devel Overrides'!F$28:F$68,$AB98+1,1)*$AB$86+INDEX('Devel Overrides'!F$28:F$68,$AB98,1)*$AC$87)*'Devel Overrides'!$F$19</f>
        <v>0</v>
      </c>
      <c r="AF98" s="387">
        <f>IF(OR($AB98=0,$AB98&gt;40),0,INDEX('Devel Overrides'!G$28:G$68,$AB98+1,1)*$AB$86+INDEX('Devel Overrides'!G$28:G$68,$AB98,1)*$AC$87)*'Devel Overrides'!$F$19</f>
        <v>0</v>
      </c>
      <c r="AG98" s="387">
        <f>IF(OR($AB98=0,$AB98&gt;40),0,INDEX('Devel Overrides'!H$28:H$68,$AB98+1,1)*$AB$86+INDEX('Devel Overrides'!H$28:H$68,$AB98,1)*$AC$87)*'Devel Overrides'!$F$19</f>
        <v>0</v>
      </c>
      <c r="AH98" s="387">
        <f>IF(OR($AB98=0,$AB98&gt;40),0,INDEX('Devel Overrides'!I$28:I$68,$AB98+1,1)*$AB$86+INDEX('Devel Overrides'!I$28:I$68,$AB98,1)*$AC$87)*'Devel Overrides'!$F$19</f>
        <v>0</v>
      </c>
      <c r="AI98" s="387">
        <f>IF(OR($AB98=0,$AB98&gt;40),0,INDEX('Devel Overrides'!J$28:J$68,$AB98+1,1)*$AB$86+INDEX('Devel Overrides'!J$28:J$68,$AB98,1)*$AC$87)*'Devel Overrides'!$F$19</f>
        <v>0</v>
      </c>
      <c r="AJ98" s="387">
        <f>IF(OR($AB98=0,$AB98&gt;40),0,INDEX('Devel Overrides'!K$28:K$68,$AB98+1,1)*$AB$86+INDEX('Devel Overrides'!K$28:K$68,$AB98,1)*$AC$87)*'Devel Overrides'!$F$19</f>
        <v>0</v>
      </c>
      <c r="AK98" s="387">
        <f>IF(OR($AB98=0,$AB98&gt;40),0,INDEX('Devel Overrides'!L$28:L$68,$AB98+1,1)*$AB$86+INDEX('Devel Overrides'!L$28:L$68,$AB98,1)*$AC$87)*'Devel Overrides'!$F$19</f>
        <v>0</v>
      </c>
      <c r="AL98" s="64"/>
      <c r="AM98" s="109">
        <f>B98*'Selected Economics'!$J17*'Sensitivity Ranges'!$F$43</f>
        <v>0</v>
      </c>
      <c r="AN98" s="109">
        <f>IF($AB$85=1,AC98,Q98)*'Selected Economics'!$J17*'Sensitivity Ranges'!$F$43</f>
        <v>0</v>
      </c>
      <c r="AO98" s="109">
        <f>IF($AB$85=1,AD98,R98)*'Selected Economics'!$J17*'Sensitivity Ranges'!$F$43</f>
        <v>354.64923844932122</v>
      </c>
      <c r="AP98" s="109">
        <f>IF($AB$85=1,AE98,S98)*'Selected Economics'!$J17*'Sensitivity Ranges'!$F$43</f>
        <v>0</v>
      </c>
      <c r="AQ98" s="109">
        <f>IF($AB$85=1,AF98,T98)*'Selected Economics'!$J17*'Sensitivity Ranges'!$F$43</f>
        <v>0</v>
      </c>
      <c r="AR98" s="109">
        <f>IF($AB$85=1,AG98,U98)*'Selected Economics'!$J17*'Sensitivity Ranges'!$F$43</f>
        <v>0</v>
      </c>
      <c r="AS98" s="109">
        <f>IF($AB$85=1,AH98,V98)*'Selected Economics'!$J17*'Sensitivity Ranges'!$F$43</f>
        <v>39.011416229425336</v>
      </c>
      <c r="AT98" s="109">
        <f>IF($AB$85=1,AI98,W98)*'Selected Economics'!$J17*'Sensitivity Ranges'!$F$43</f>
        <v>0</v>
      </c>
      <c r="AU98" s="109">
        <f>IF($AB$85=1,AJ98,X98)*'Selected Economics'!$J17*'Sensitivity Ranges'!$F$43</f>
        <v>0</v>
      </c>
      <c r="AV98" s="109">
        <f>IF($AB$85=1,AK98,Y98)*'Selected Economics'!$J17*'Sensitivity Ranges'!$F$43</f>
        <v>78.732130935749325</v>
      </c>
      <c r="AW98" s="109">
        <f t="shared" si="51"/>
        <v>472.39278561449589</v>
      </c>
      <c r="AX98" s="121"/>
      <c r="AY98" s="109">
        <f t="shared" si="57"/>
        <v>0</v>
      </c>
      <c r="AZ98" s="109">
        <f>AN98*Abandonment!$H22</f>
        <v>0</v>
      </c>
      <c r="BA98" s="109">
        <f>AO98*Abandonment!$H22</f>
        <v>354.64923844932122</v>
      </c>
      <c r="BB98" s="109">
        <f>AP98*Abandonment!$H22</f>
        <v>0</v>
      </c>
      <c r="BC98" s="109">
        <f>AQ98*Abandonment!$H22</f>
        <v>0</v>
      </c>
      <c r="BD98" s="109">
        <f>AR98*Abandonment!$H22</f>
        <v>0</v>
      </c>
      <c r="BE98" s="109">
        <f>AS98*Abandonment!$H22</f>
        <v>39.011416229425336</v>
      </c>
      <c r="BF98" s="109">
        <f>AT98*Abandonment!$H22</f>
        <v>0</v>
      </c>
      <c r="BG98" s="109">
        <f>AU98*Abandonment!$H22</f>
        <v>0</v>
      </c>
      <c r="BH98" s="109">
        <f>AV98*Abandonment!$H22</f>
        <v>78.732130935749325</v>
      </c>
      <c r="BI98" s="109">
        <f t="shared" si="52"/>
        <v>472.39278561449589</v>
      </c>
      <c r="BJ98" s="121"/>
      <c r="BK98" s="109">
        <f>AZ98+Exploration!R43</f>
        <v>0</v>
      </c>
      <c r="BL98" s="109">
        <f>AY98+(BA98+BB98+BC98+IF(Input!$B$17="Shore",0,Development!BD98)+BE98)*(1+'Cost Assumptions'!$O$101)+BF98</f>
        <v>472.39278561449584</v>
      </c>
      <c r="BM98" s="109">
        <f>IF(Input!$B$17="Shore",Development!BD98,0)*(1+'Cost Assumptions'!$O$101)+BG98</f>
        <v>0</v>
      </c>
      <c r="BN98" s="105"/>
      <c r="BO98" s="105"/>
      <c r="BP98" s="109">
        <f t="shared" si="37"/>
        <v>477.11671347064083</v>
      </c>
      <c r="BQ98" s="145"/>
      <c r="BR98" s="105"/>
      <c r="BS98" s="109">
        <f t="shared" ca="1" si="38"/>
        <v>0</v>
      </c>
      <c r="BT98" s="109">
        <f t="shared" ca="1" si="39"/>
        <v>0</v>
      </c>
      <c r="BU98" s="109">
        <f t="shared" ca="1" si="40"/>
        <v>354.64923844932122</v>
      </c>
      <c r="BV98" s="109">
        <f t="shared" ca="1" si="41"/>
        <v>0</v>
      </c>
      <c r="BW98" s="109">
        <f t="shared" ca="1" si="42"/>
        <v>0</v>
      </c>
      <c r="BX98" s="109">
        <f t="shared" ca="1" si="43"/>
        <v>0</v>
      </c>
      <c r="BY98" s="109">
        <f t="shared" ca="1" si="44"/>
        <v>39.011416229425336</v>
      </c>
      <c r="BZ98" s="109">
        <f t="shared" ca="1" si="45"/>
        <v>0</v>
      </c>
      <c r="CA98" s="109">
        <f t="shared" ca="1" si="46"/>
        <v>0</v>
      </c>
      <c r="CB98" s="109">
        <f t="shared" ca="1" si="47"/>
        <v>78.732130935749325</v>
      </c>
      <c r="CC98" s="109">
        <f t="shared" ca="1" si="53"/>
        <v>472.39278561449589</v>
      </c>
      <c r="CD98" s="109"/>
      <c r="CE98" s="109">
        <f t="shared" si="54"/>
        <v>472.39278561449589</v>
      </c>
    </row>
    <row r="99" spans="1:83">
      <c r="A99" s="90">
        <f t="shared" si="55"/>
        <v>2030</v>
      </c>
      <c r="B99" s="109">
        <f t="shared" si="32"/>
        <v>0</v>
      </c>
      <c r="C99" s="109">
        <f t="shared" si="33"/>
        <v>0</v>
      </c>
      <c r="D99" s="109">
        <f t="shared" si="33"/>
        <v>0</v>
      </c>
      <c r="E99" s="109">
        <f t="shared" si="33"/>
        <v>0</v>
      </c>
      <c r="F99" s="109">
        <f t="shared" si="33"/>
        <v>0</v>
      </c>
      <c r="G99" s="109">
        <f t="shared" si="33"/>
        <v>12.648596962191778</v>
      </c>
      <c r="H99" s="109">
        <f t="shared" si="33"/>
        <v>19.841107792477548</v>
      </c>
      <c r="I99" s="109">
        <f t="shared" si="33"/>
        <v>12.648596962191778</v>
      </c>
      <c r="J99" s="109">
        <f t="shared" si="33"/>
        <v>19.841107792477548</v>
      </c>
      <c r="K99" s="109">
        <f t="shared" si="33"/>
        <v>12.648596962191778</v>
      </c>
      <c r="L99" s="109">
        <f t="shared" si="33"/>
        <v>19.841107792477548</v>
      </c>
      <c r="M99" s="109">
        <f t="shared" si="33"/>
        <v>0</v>
      </c>
      <c r="N99" s="109">
        <f t="shared" si="33"/>
        <v>0</v>
      </c>
      <c r="O99" s="109">
        <f t="shared" si="33"/>
        <v>0</v>
      </c>
      <c r="P99" s="109">
        <f t="shared" si="33"/>
        <v>0</v>
      </c>
      <c r="Q99" s="109">
        <f t="shared" si="48"/>
        <v>97.46911426400797</v>
      </c>
      <c r="R99" s="109">
        <f t="shared" si="34"/>
        <v>495.5102307692307</v>
      </c>
      <c r="S99" s="109">
        <f t="shared" si="34"/>
        <v>670.07327778272963</v>
      </c>
      <c r="T99" s="109">
        <f t="shared" si="34"/>
        <v>618.25965120000001</v>
      </c>
      <c r="U99" s="109">
        <f t="shared" si="34"/>
        <v>758.32446239999979</v>
      </c>
      <c r="V99" s="109">
        <f>'Cost Assumptions'!$O$100*SUM(Development!R99:U99)</f>
        <v>279.6384384367156</v>
      </c>
      <c r="W99" s="109">
        <f t="shared" si="56"/>
        <v>0</v>
      </c>
      <c r="X99" s="109">
        <f t="shared" si="49"/>
        <v>0</v>
      </c>
      <c r="Y99" s="109">
        <f>'Cost Assumptions'!$O$101*SUM(Development!R99:V99)</f>
        <v>564.36121211773514</v>
      </c>
      <c r="Z99" s="109">
        <f t="shared" si="35"/>
        <v>3483.6363869704192</v>
      </c>
      <c r="AA99" s="121">
        <f t="shared" si="50"/>
        <v>3483.6363869704192</v>
      </c>
      <c r="AB99" s="148">
        <f t="shared" si="36"/>
        <v>2</v>
      </c>
      <c r="AC99" s="387">
        <f>IF(OR($AB99=0,$AB99&gt;40),0,INDEX('Devel Overrides'!D$28:D$68,$AB99+1,1)*$AB$86+INDEX('Devel Overrides'!D$28:D$68,$AB99,1)*$AC$87)*'Devel Overrides'!$F$19</f>
        <v>0</v>
      </c>
      <c r="AD99" s="387">
        <f>IF(OR($AB99=0,$AB99&gt;40),0,INDEX('Devel Overrides'!E$28:E$68,$AB99+1,1)*$AB$86+INDEX('Devel Overrides'!E$28:E$68,$AB99,1)*$AC$87)*'Devel Overrides'!$F$19</f>
        <v>0</v>
      </c>
      <c r="AE99" s="387">
        <f>IF(OR($AB99=0,$AB99&gt;40),0,INDEX('Devel Overrides'!F$28:F$68,$AB99+1,1)*$AB$86+INDEX('Devel Overrides'!F$28:F$68,$AB99,1)*$AC$87)*'Devel Overrides'!$F$19</f>
        <v>0</v>
      </c>
      <c r="AF99" s="387">
        <f>IF(OR($AB99=0,$AB99&gt;40),0,INDEX('Devel Overrides'!G$28:G$68,$AB99+1,1)*$AB$86+INDEX('Devel Overrides'!G$28:G$68,$AB99,1)*$AC$87)*'Devel Overrides'!$F$19</f>
        <v>0</v>
      </c>
      <c r="AG99" s="387">
        <f>IF(OR($AB99=0,$AB99&gt;40),0,INDEX('Devel Overrides'!H$28:H$68,$AB99+1,1)*$AB$86+INDEX('Devel Overrides'!H$28:H$68,$AB99,1)*$AC$87)*'Devel Overrides'!$F$19</f>
        <v>0</v>
      </c>
      <c r="AH99" s="387">
        <f>IF(OR($AB99=0,$AB99&gt;40),0,INDEX('Devel Overrides'!I$28:I$68,$AB99+1,1)*$AB$86+INDEX('Devel Overrides'!I$28:I$68,$AB99,1)*$AC$87)*'Devel Overrides'!$F$19</f>
        <v>0</v>
      </c>
      <c r="AI99" s="387">
        <f>IF(OR($AB99=0,$AB99&gt;40),0,INDEX('Devel Overrides'!J$28:J$68,$AB99+1,1)*$AB$86+INDEX('Devel Overrides'!J$28:J$68,$AB99,1)*$AC$87)*'Devel Overrides'!$F$19</f>
        <v>0</v>
      </c>
      <c r="AJ99" s="387">
        <f>IF(OR($AB99=0,$AB99&gt;40),0,INDEX('Devel Overrides'!K$28:K$68,$AB99+1,1)*$AB$86+INDEX('Devel Overrides'!K$28:K$68,$AB99,1)*$AC$87)*'Devel Overrides'!$F$19</f>
        <v>0</v>
      </c>
      <c r="AK99" s="387">
        <f>IF(OR($AB99=0,$AB99&gt;40),0,INDEX('Devel Overrides'!L$28:L$68,$AB99+1,1)*$AB$86+INDEX('Devel Overrides'!L$28:L$68,$AB99,1)*$AC$87)*'Devel Overrides'!$F$19</f>
        <v>0</v>
      </c>
      <c r="AL99" s="64"/>
      <c r="AM99" s="109">
        <f>B99*'Selected Economics'!$J18*'Sensitivity Ranges'!$F$43</f>
        <v>0</v>
      </c>
      <c r="AN99" s="109">
        <f>IF($AB$85=1,AC99,Q99)*'Selected Economics'!$J18*'Sensitivity Ranges'!$F$43</f>
        <v>119.87471631941384</v>
      </c>
      <c r="AO99" s="109">
        <f>IF($AB$85=1,AD99,R99)*'Selected Economics'!$J18*'Sensitivity Ranges'!$F$43</f>
        <v>609.41508287372324</v>
      </c>
      <c r="AP99" s="109">
        <f>IF($AB$85=1,AE99,S99)*'Selected Economics'!$J18*'Sensitivity Ranges'!$F$43</f>
        <v>824.10561226455854</v>
      </c>
      <c r="AQ99" s="109">
        <f>IF($AB$85=1,AF99,T99)*'Selected Economics'!$J18*'Sensitivity Ranges'!$F$43</f>
        <v>760.38138705757603</v>
      </c>
      <c r="AR99" s="109">
        <f>IF($AB$85=1,AG99,U99)*'Selected Economics'!$J18*'Sensitivity Ranges'!$F$43</f>
        <v>932.64343781812443</v>
      </c>
      <c r="AS99" s="109">
        <f>IF($AB$85=1,AH99,V99)*'Selected Economics'!$J18*'Sensitivity Ranges'!$F$43</f>
        <v>343.920007201538</v>
      </c>
      <c r="AT99" s="109">
        <f>IF($AB$85=1,AI99,W99)*'Selected Economics'!$J18*'Sensitivity Ranges'!$F$43</f>
        <v>0</v>
      </c>
      <c r="AU99" s="109">
        <f>IF($AB$85=1,AJ99,X99)*'Selected Economics'!$J18*'Sensitivity Ranges'!$F$43</f>
        <v>0</v>
      </c>
      <c r="AV99" s="109">
        <f>IF($AB$85=1,AK99,Y99)*'Selected Economics'!$J18*'Sensitivity Ranges'!$F$43</f>
        <v>694.09310544310404</v>
      </c>
      <c r="AW99" s="109">
        <f t="shared" si="51"/>
        <v>4284.4333489780374</v>
      </c>
      <c r="AX99" s="121"/>
      <c r="AY99" s="109">
        <f t="shared" si="57"/>
        <v>0</v>
      </c>
      <c r="AZ99" s="109">
        <f>AN99*Abandonment!$H23</f>
        <v>119.87471631941384</v>
      </c>
      <c r="BA99" s="109">
        <f>AO99*Abandonment!$H23</f>
        <v>609.41508287372324</v>
      </c>
      <c r="BB99" s="109">
        <f>AP99*Abandonment!$H23</f>
        <v>824.10561226455854</v>
      </c>
      <c r="BC99" s="109">
        <f>AQ99*Abandonment!$H23</f>
        <v>760.38138705757603</v>
      </c>
      <c r="BD99" s="109">
        <f>AR99*Abandonment!$H23</f>
        <v>932.64343781812443</v>
      </c>
      <c r="BE99" s="109">
        <f>AS99*Abandonment!$H23</f>
        <v>343.920007201538</v>
      </c>
      <c r="BF99" s="109">
        <f>AT99*Abandonment!$H23</f>
        <v>0</v>
      </c>
      <c r="BG99" s="109">
        <f>AU99*Abandonment!$H23</f>
        <v>0</v>
      </c>
      <c r="BH99" s="109">
        <f>AV99*Abandonment!$H23</f>
        <v>694.09310544310404</v>
      </c>
      <c r="BI99" s="109">
        <f t="shared" si="52"/>
        <v>4284.4333489780374</v>
      </c>
      <c r="BJ99" s="121"/>
      <c r="BK99" s="109">
        <f>AZ99+Exploration!R44</f>
        <v>119.87471631941384</v>
      </c>
      <c r="BL99" s="109">
        <f>AY99+(BA99+BB99+BC99+IF(Input!$B$17="Shore",0,Development!BD99)+BE99)*(1+'Cost Assumptions'!$O$101)+BF99</f>
        <v>4164.5586326586235</v>
      </c>
      <c r="BM99" s="109">
        <f>IF(Input!$B$17="Shore",Development!BD99,0)*(1+'Cost Assumptions'!$O$101)+BG99</f>
        <v>0</v>
      </c>
      <c r="BN99" s="105"/>
      <c r="BO99" s="105"/>
      <c r="BP99" s="109">
        <f t="shared" si="37"/>
        <v>4327.2776824678176</v>
      </c>
      <c r="BQ99" s="145"/>
      <c r="BR99" s="105"/>
      <c r="BS99" s="109">
        <f t="shared" ca="1" si="38"/>
        <v>0</v>
      </c>
      <c r="BT99" s="109">
        <f t="shared" ca="1" si="39"/>
        <v>119.87471631941384</v>
      </c>
      <c r="BU99" s="109">
        <f t="shared" ca="1" si="40"/>
        <v>609.41508287372324</v>
      </c>
      <c r="BV99" s="109">
        <f t="shared" ca="1" si="41"/>
        <v>824.10561226455854</v>
      </c>
      <c r="BW99" s="109">
        <f t="shared" ca="1" si="42"/>
        <v>760.38138705757603</v>
      </c>
      <c r="BX99" s="109">
        <f t="shared" ca="1" si="43"/>
        <v>932.64343781812443</v>
      </c>
      <c r="BY99" s="109">
        <f t="shared" ca="1" si="44"/>
        <v>343.920007201538</v>
      </c>
      <c r="BZ99" s="109">
        <f t="shared" ca="1" si="45"/>
        <v>0</v>
      </c>
      <c r="CA99" s="109">
        <f t="shared" ca="1" si="46"/>
        <v>0</v>
      </c>
      <c r="CB99" s="109">
        <f t="shared" ca="1" si="47"/>
        <v>694.09310544310404</v>
      </c>
      <c r="CC99" s="109">
        <f t="shared" ca="1" si="53"/>
        <v>4284.4333489780374</v>
      </c>
      <c r="CD99" s="109"/>
      <c r="CE99" s="109">
        <f t="shared" si="54"/>
        <v>4164.5586326586244</v>
      </c>
    </row>
    <row r="100" spans="1:83">
      <c r="A100" s="90">
        <f t="shared" si="55"/>
        <v>2031</v>
      </c>
      <c r="B100" s="109">
        <f t="shared" si="32"/>
        <v>0</v>
      </c>
      <c r="C100" s="109">
        <f t="shared" si="33"/>
        <v>0</v>
      </c>
      <c r="D100" s="109">
        <f t="shared" si="33"/>
        <v>0</v>
      </c>
      <c r="E100" s="109">
        <f t="shared" si="33"/>
        <v>0</v>
      </c>
      <c r="F100" s="109">
        <f t="shared" si="33"/>
        <v>0</v>
      </c>
      <c r="G100" s="109">
        <f t="shared" si="33"/>
        <v>0</v>
      </c>
      <c r="H100" s="109">
        <f t="shared" si="33"/>
        <v>441.08308861738556</v>
      </c>
      <c r="I100" s="109">
        <f t="shared" si="33"/>
        <v>0</v>
      </c>
      <c r="J100" s="109">
        <f t="shared" si="33"/>
        <v>441.08308861738556</v>
      </c>
      <c r="K100" s="109">
        <f t="shared" si="33"/>
        <v>0</v>
      </c>
      <c r="L100" s="109">
        <f t="shared" si="33"/>
        <v>441.08308861738556</v>
      </c>
      <c r="M100" s="109">
        <f t="shared" si="33"/>
        <v>0</v>
      </c>
      <c r="N100" s="109">
        <f t="shared" si="33"/>
        <v>0</v>
      </c>
      <c r="O100" s="109">
        <f t="shared" si="33"/>
        <v>0</v>
      </c>
      <c r="P100" s="109">
        <f t="shared" si="33"/>
        <v>0</v>
      </c>
      <c r="Q100" s="109">
        <f t="shared" si="48"/>
        <v>1323.2492658521567</v>
      </c>
      <c r="R100" s="109">
        <f t="shared" si="34"/>
        <v>159.67661538461539</v>
      </c>
      <c r="S100" s="109">
        <f t="shared" si="34"/>
        <v>336.37923859207808</v>
      </c>
      <c r="T100" s="109">
        <f t="shared" si="34"/>
        <v>0</v>
      </c>
      <c r="U100" s="109">
        <f t="shared" si="34"/>
        <v>0</v>
      </c>
      <c r="V100" s="109">
        <f>'Cost Assumptions'!$O$100*SUM(Development!R100:U100)</f>
        <v>54.56614393743628</v>
      </c>
      <c r="W100" s="109">
        <f t="shared" si="56"/>
        <v>274.23359999999991</v>
      </c>
      <c r="X100" s="109">
        <f t="shared" si="49"/>
        <v>0</v>
      </c>
      <c r="Y100" s="109">
        <f>'Cost Assumptions'!$O$101*SUM(Development!R100:V100)</f>
        <v>110.12439958282596</v>
      </c>
      <c r="Z100" s="109">
        <f t="shared" si="35"/>
        <v>2258.229263349112</v>
      </c>
      <c r="AA100" s="121">
        <f t="shared" si="50"/>
        <v>2258.229263349112</v>
      </c>
      <c r="AB100" s="148">
        <f t="shared" si="36"/>
        <v>3</v>
      </c>
      <c r="AC100" s="387">
        <f>IF(OR($AB100=0,$AB100&gt;40),0,INDEX('Devel Overrides'!D$28:D$68,$AB100+1,1)*$AB$86+INDEX('Devel Overrides'!D$28:D$68,$AB100,1)*$AC$87)*'Devel Overrides'!$F$19</f>
        <v>0</v>
      </c>
      <c r="AD100" s="387">
        <f>IF(OR($AB100=0,$AB100&gt;40),0,INDEX('Devel Overrides'!E$28:E$68,$AB100+1,1)*$AB$86+INDEX('Devel Overrides'!E$28:E$68,$AB100,1)*$AC$87)*'Devel Overrides'!$F$19</f>
        <v>0</v>
      </c>
      <c r="AE100" s="387">
        <f>IF(OR($AB100=0,$AB100&gt;40),0,INDEX('Devel Overrides'!F$28:F$68,$AB100+1,1)*$AB$86+INDEX('Devel Overrides'!F$28:F$68,$AB100,1)*$AC$87)*'Devel Overrides'!$F$19</f>
        <v>0</v>
      </c>
      <c r="AF100" s="387">
        <f>IF(OR($AB100=0,$AB100&gt;40),0,INDEX('Devel Overrides'!G$28:G$68,$AB100+1,1)*$AB$86+INDEX('Devel Overrides'!G$28:G$68,$AB100,1)*$AC$87)*'Devel Overrides'!$F$19</f>
        <v>0</v>
      </c>
      <c r="AG100" s="387">
        <f>IF(OR($AB100=0,$AB100&gt;40),0,INDEX('Devel Overrides'!H$28:H$68,$AB100+1,1)*$AB$86+INDEX('Devel Overrides'!H$28:H$68,$AB100,1)*$AC$87)*'Devel Overrides'!$F$19</f>
        <v>0</v>
      </c>
      <c r="AH100" s="387">
        <f>IF(OR($AB100=0,$AB100&gt;40),0,INDEX('Devel Overrides'!I$28:I$68,$AB100+1,1)*$AB$86+INDEX('Devel Overrides'!I$28:I$68,$AB100,1)*$AC$87)*'Devel Overrides'!$F$19</f>
        <v>0</v>
      </c>
      <c r="AI100" s="387">
        <f>IF(OR($AB100=0,$AB100&gt;40),0,INDEX('Devel Overrides'!J$28:J$68,$AB100+1,1)*$AB$86+INDEX('Devel Overrides'!J$28:J$68,$AB100,1)*$AC$87)*'Devel Overrides'!$F$19</f>
        <v>0</v>
      </c>
      <c r="AJ100" s="387">
        <f>IF(OR($AB100=0,$AB100&gt;40),0,INDEX('Devel Overrides'!K$28:K$68,$AB100+1,1)*$AB$86+INDEX('Devel Overrides'!K$28:K$68,$AB100,1)*$AC$87)*'Devel Overrides'!$F$19</f>
        <v>0</v>
      </c>
      <c r="AK100" s="387">
        <f>IF(OR($AB100=0,$AB100&gt;40),0,INDEX('Devel Overrides'!L$28:L$68,$AB100+1,1)*$AB$86+INDEX('Devel Overrides'!L$28:L$68,$AB100,1)*$AC$87)*'Devel Overrides'!$F$19</f>
        <v>0</v>
      </c>
      <c r="AL100" s="64"/>
      <c r="AM100" s="109">
        <f>B100*'Selected Economics'!$J19*'Sensitivity Ranges'!$F$43</f>
        <v>0</v>
      </c>
      <c r="AN100" s="109">
        <f>IF($AB$85=1,AC100,Q100)*'Selected Economics'!$J19*'Sensitivity Ranges'!$F$43</f>
        <v>1676.2525801996401</v>
      </c>
      <c r="AO100" s="109">
        <f>IF($AB$85=1,AD100,R100)*'Selected Economics'!$J19*'Sensitivity Ranges'!$F$43</f>
        <v>202.27355906646835</v>
      </c>
      <c r="AP100" s="109">
        <f>IF($AB$85=1,AE100,S100)*'Selected Economics'!$J19*'Sensitivity Ranges'!$F$43</f>
        <v>426.11515544839119</v>
      </c>
      <c r="AQ100" s="109">
        <f>IF($AB$85=1,AF100,T100)*'Selected Economics'!$J19*'Sensitivity Ranges'!$F$43</f>
        <v>0</v>
      </c>
      <c r="AR100" s="109">
        <f>IF($AB$85=1,AG100,U100)*'Selected Economics'!$J19*'Sensitivity Ranges'!$F$43</f>
        <v>0</v>
      </c>
      <c r="AS100" s="109">
        <f>IF($AB$85=1,AH100,V100)*'Selected Economics'!$J19*'Sensitivity Ranges'!$F$43</f>
        <v>69.12275859663454</v>
      </c>
      <c r="AT100" s="109">
        <f>IF($AB$85=1,AI100,W100)*'Selected Economics'!$J19*'Sensitivity Ranges'!$F$43</f>
        <v>347.39091979121895</v>
      </c>
      <c r="AU100" s="109">
        <f>IF($AB$85=1,AJ100,X100)*'Selected Economics'!$J19*'Sensitivity Ranges'!$F$43</f>
        <v>0</v>
      </c>
      <c r="AV100" s="109">
        <f>IF($AB$85=1,AK100,Y100)*'Selected Economics'!$J19*'Sensitivity Ranges'!$F$43</f>
        <v>139.50229462229882</v>
      </c>
      <c r="AW100" s="109">
        <f t="shared" si="51"/>
        <v>2860.6572677246518</v>
      </c>
      <c r="AX100" s="121"/>
      <c r="AY100" s="109">
        <f t="shared" si="57"/>
        <v>0</v>
      </c>
      <c r="AZ100" s="109">
        <f>AN100*Abandonment!$H24</f>
        <v>1676.2525801996401</v>
      </c>
      <c r="BA100" s="109">
        <f>AO100*Abandonment!$H24</f>
        <v>202.27355906646835</v>
      </c>
      <c r="BB100" s="109">
        <f>AP100*Abandonment!$H24</f>
        <v>426.11515544839119</v>
      </c>
      <c r="BC100" s="109">
        <f>AQ100*Abandonment!$H24</f>
        <v>0</v>
      </c>
      <c r="BD100" s="109">
        <f>AR100*Abandonment!$H24</f>
        <v>0</v>
      </c>
      <c r="BE100" s="109">
        <f>AS100*Abandonment!$H24</f>
        <v>69.12275859663454</v>
      </c>
      <c r="BF100" s="109">
        <f>AT100*Abandonment!$H24</f>
        <v>347.39091979121895</v>
      </c>
      <c r="BG100" s="109">
        <f>AU100*Abandonment!$H24</f>
        <v>0</v>
      </c>
      <c r="BH100" s="109">
        <f>AV100*Abandonment!$H24</f>
        <v>139.50229462229882</v>
      </c>
      <c r="BI100" s="109">
        <f t="shared" si="52"/>
        <v>2860.6572677246518</v>
      </c>
      <c r="BJ100" s="121"/>
      <c r="BK100" s="109">
        <f>AZ100+Exploration!R45</f>
        <v>1676.2525801996401</v>
      </c>
      <c r="BL100" s="109">
        <f>AY100+(BA100+BB100+BC100+IF(Input!$B$17="Shore",0,Development!BD100)+BE100)*(1+'Cost Assumptions'!$O$101)+BF100</f>
        <v>1184.4046875250119</v>
      </c>
      <c r="BM100" s="109">
        <f>IF(Input!$B$17="Shore",Development!BD100,0)*(1+'Cost Assumptions'!$O$101)+BG100</f>
        <v>0</v>
      </c>
      <c r="BN100" s="105"/>
      <c r="BO100" s="105"/>
      <c r="BP100" s="109">
        <f t="shared" si="37"/>
        <v>2889.2638404018985</v>
      </c>
      <c r="BQ100" s="145"/>
      <c r="BR100" s="105"/>
      <c r="BS100" s="109">
        <f t="shared" ca="1" si="38"/>
        <v>0</v>
      </c>
      <c r="BT100" s="109">
        <f t="shared" ca="1" si="39"/>
        <v>1676.2525801996401</v>
      </c>
      <c r="BU100" s="109">
        <f t="shared" ca="1" si="40"/>
        <v>202.27355906646835</v>
      </c>
      <c r="BV100" s="109">
        <f t="shared" ca="1" si="41"/>
        <v>426.11515544839119</v>
      </c>
      <c r="BW100" s="109">
        <f t="shared" ca="1" si="42"/>
        <v>0</v>
      </c>
      <c r="BX100" s="109">
        <f t="shared" ca="1" si="43"/>
        <v>0</v>
      </c>
      <c r="BY100" s="109">
        <f t="shared" ca="1" si="44"/>
        <v>69.12275859663454</v>
      </c>
      <c r="BZ100" s="109">
        <f t="shared" ca="1" si="45"/>
        <v>347.39091979121895</v>
      </c>
      <c r="CA100" s="109">
        <f t="shared" ca="1" si="46"/>
        <v>0</v>
      </c>
      <c r="CB100" s="109">
        <f t="shared" ca="1" si="47"/>
        <v>139.50229462229882</v>
      </c>
      <c r="CC100" s="109">
        <f t="shared" ca="1" si="53"/>
        <v>2860.6572677246518</v>
      </c>
      <c r="CD100" s="109"/>
      <c r="CE100" s="109">
        <f t="shared" si="54"/>
        <v>1184.4046875250119</v>
      </c>
    </row>
    <row r="101" spans="1:83">
      <c r="A101" s="90">
        <f t="shared" si="55"/>
        <v>2032</v>
      </c>
      <c r="B101" s="109">
        <f t="shared" si="32"/>
        <v>0</v>
      </c>
      <c r="C101" s="109">
        <f t="shared" si="33"/>
        <v>0</v>
      </c>
      <c r="D101" s="109">
        <f t="shared" si="33"/>
        <v>0</v>
      </c>
      <c r="E101" s="109">
        <f t="shared" si="33"/>
        <v>0</v>
      </c>
      <c r="F101" s="109">
        <f t="shared" si="33"/>
        <v>0</v>
      </c>
      <c r="G101" s="109">
        <f t="shared" si="33"/>
        <v>0</v>
      </c>
      <c r="H101" s="109">
        <f t="shared" si="33"/>
        <v>0</v>
      </c>
      <c r="I101" s="109">
        <f t="shared" si="33"/>
        <v>0</v>
      </c>
      <c r="J101" s="109">
        <f t="shared" si="33"/>
        <v>0</v>
      </c>
      <c r="K101" s="109">
        <f t="shared" si="33"/>
        <v>0</v>
      </c>
      <c r="L101" s="109">
        <f t="shared" si="33"/>
        <v>0</v>
      </c>
      <c r="M101" s="109">
        <f t="shared" si="33"/>
        <v>0</v>
      </c>
      <c r="N101" s="109">
        <f t="shared" si="33"/>
        <v>0</v>
      </c>
      <c r="O101" s="109">
        <f t="shared" si="33"/>
        <v>0</v>
      </c>
      <c r="P101" s="109">
        <f t="shared" si="33"/>
        <v>0</v>
      </c>
      <c r="Q101" s="109">
        <f t="shared" si="48"/>
        <v>0</v>
      </c>
      <c r="R101" s="109">
        <f t="shared" si="34"/>
        <v>0</v>
      </c>
      <c r="S101" s="109">
        <f t="shared" si="34"/>
        <v>0</v>
      </c>
      <c r="T101" s="109">
        <f t="shared" si="34"/>
        <v>0</v>
      </c>
      <c r="U101" s="109">
        <f t="shared" si="34"/>
        <v>0</v>
      </c>
      <c r="V101" s="109">
        <f>'Cost Assumptions'!$O$100*SUM(Development!R101:U101)</f>
        <v>0</v>
      </c>
      <c r="W101" s="109">
        <f t="shared" si="56"/>
        <v>0</v>
      </c>
      <c r="X101" s="109">
        <f t="shared" si="49"/>
        <v>0</v>
      </c>
      <c r="Y101" s="109">
        <f>'Cost Assumptions'!$O$101*SUM(Development!R101:V101)</f>
        <v>0</v>
      </c>
      <c r="Z101" s="109">
        <f t="shared" si="35"/>
        <v>0</v>
      </c>
      <c r="AA101" s="121"/>
      <c r="AB101" s="148">
        <f t="shared" si="36"/>
        <v>4</v>
      </c>
      <c r="AC101" s="387">
        <f>IF(OR($AB101=0,$AB101&gt;40),0,INDEX('Devel Overrides'!D$28:D$68,$AB101+1,1)*$AB$86+INDEX('Devel Overrides'!D$28:D$68,$AB101,1)*$AC$87)*'Devel Overrides'!$F$19</f>
        <v>0</v>
      </c>
      <c r="AD101" s="387">
        <f>IF(OR($AB101=0,$AB101&gt;40),0,INDEX('Devel Overrides'!E$28:E$68,$AB101+1,1)*$AB$86+INDEX('Devel Overrides'!E$28:E$68,$AB101,1)*$AC$87)*'Devel Overrides'!$F$19</f>
        <v>0</v>
      </c>
      <c r="AE101" s="387">
        <f>IF(OR($AB101=0,$AB101&gt;40),0,INDEX('Devel Overrides'!F$28:F$68,$AB101+1,1)*$AB$86+INDEX('Devel Overrides'!F$28:F$68,$AB101,1)*$AC$87)*'Devel Overrides'!$F$19</f>
        <v>0</v>
      </c>
      <c r="AF101" s="387">
        <f>IF(OR($AB101=0,$AB101&gt;40),0,INDEX('Devel Overrides'!G$28:G$68,$AB101+1,1)*$AB$86+INDEX('Devel Overrides'!G$28:G$68,$AB101,1)*$AC$87)*'Devel Overrides'!$F$19</f>
        <v>0</v>
      </c>
      <c r="AG101" s="387">
        <f>IF(OR($AB101=0,$AB101&gt;40),0,INDEX('Devel Overrides'!H$28:H$68,$AB101+1,1)*$AB$86+INDEX('Devel Overrides'!H$28:H$68,$AB101,1)*$AC$87)*'Devel Overrides'!$F$19</f>
        <v>0</v>
      </c>
      <c r="AH101" s="387">
        <f>IF(OR($AB101=0,$AB101&gt;40),0,INDEX('Devel Overrides'!I$28:I$68,$AB101+1,1)*$AB$86+INDEX('Devel Overrides'!I$28:I$68,$AB101,1)*$AC$87)*'Devel Overrides'!$F$19</f>
        <v>0</v>
      </c>
      <c r="AI101" s="387">
        <f>IF(OR($AB101=0,$AB101&gt;40),0,INDEX('Devel Overrides'!J$28:J$68,$AB101+1,1)*$AB$86+INDEX('Devel Overrides'!J$28:J$68,$AB101,1)*$AC$87)*'Devel Overrides'!$F$19</f>
        <v>0</v>
      </c>
      <c r="AJ101" s="387">
        <f>IF(OR($AB101=0,$AB101&gt;40),0,INDEX('Devel Overrides'!K$28:K$68,$AB101+1,1)*$AB$86+INDEX('Devel Overrides'!K$28:K$68,$AB101,1)*$AC$87)*'Devel Overrides'!$F$19</f>
        <v>0</v>
      </c>
      <c r="AK101" s="387">
        <f>IF(OR($AB101=0,$AB101&gt;40),0,INDEX('Devel Overrides'!L$28:L$68,$AB101+1,1)*$AB$86+INDEX('Devel Overrides'!L$28:L$68,$AB101,1)*$AC$87)*'Devel Overrides'!$F$19</f>
        <v>0</v>
      </c>
      <c r="AL101" s="64"/>
      <c r="AM101" s="109">
        <f>B101*'Selected Economics'!$J20*'Sensitivity Ranges'!$F$43</f>
        <v>0</v>
      </c>
      <c r="AN101" s="109">
        <f>IF($AB$85=1,AC101,Q101)*'Selected Economics'!$J20*'Sensitivity Ranges'!$F$43</f>
        <v>0</v>
      </c>
      <c r="AO101" s="109">
        <f>IF($AB$85=1,AD101,R101)*'Selected Economics'!$J20*'Sensitivity Ranges'!$F$43</f>
        <v>0</v>
      </c>
      <c r="AP101" s="109">
        <f>IF($AB$85=1,AE101,S101)*'Selected Economics'!$J20*'Sensitivity Ranges'!$F$43</f>
        <v>0</v>
      </c>
      <c r="AQ101" s="109">
        <f>IF($AB$85=1,AF101,T101)*'Selected Economics'!$J20*'Sensitivity Ranges'!$F$43</f>
        <v>0</v>
      </c>
      <c r="AR101" s="109">
        <f>IF($AB$85=1,AG101,U101)*'Selected Economics'!$J20*'Sensitivity Ranges'!$F$43</f>
        <v>0</v>
      </c>
      <c r="AS101" s="109">
        <f>IF($AB$85=1,AH101,V101)*'Selected Economics'!$J20*'Sensitivity Ranges'!$F$43</f>
        <v>0</v>
      </c>
      <c r="AT101" s="109">
        <f>IF($AB$85=1,AI101,W101)*'Selected Economics'!$J20*'Sensitivity Ranges'!$F$43</f>
        <v>0</v>
      </c>
      <c r="AU101" s="109">
        <f>IF($AB$85=1,AJ101,X101)*'Selected Economics'!$J20*'Sensitivity Ranges'!$F$43</f>
        <v>0</v>
      </c>
      <c r="AV101" s="109">
        <f>IF($AB$85=1,AK101,Y101)*'Selected Economics'!$J20*'Sensitivity Ranges'!$F$43</f>
        <v>0</v>
      </c>
      <c r="AW101" s="109">
        <f t="shared" si="51"/>
        <v>0</v>
      </c>
      <c r="AX101" s="121"/>
      <c r="AY101" s="109">
        <f t="shared" si="57"/>
        <v>0</v>
      </c>
      <c r="AZ101" s="109">
        <f>AN101*Abandonment!$H25</f>
        <v>0</v>
      </c>
      <c r="BA101" s="109">
        <f>AO101*Abandonment!$H25</f>
        <v>0</v>
      </c>
      <c r="BB101" s="109">
        <f>AP101*Abandonment!$H25</f>
        <v>0</v>
      </c>
      <c r="BC101" s="109">
        <f>AQ101*Abandonment!$H25</f>
        <v>0</v>
      </c>
      <c r="BD101" s="109">
        <f>AR101*Abandonment!$H25</f>
        <v>0</v>
      </c>
      <c r="BE101" s="109">
        <f>AS101*Abandonment!$H25</f>
        <v>0</v>
      </c>
      <c r="BF101" s="109">
        <f>AT101*Abandonment!$H25</f>
        <v>0</v>
      </c>
      <c r="BG101" s="109">
        <f>AU101*Abandonment!$H25</f>
        <v>0</v>
      </c>
      <c r="BH101" s="109">
        <f>AV101*Abandonment!$H25</f>
        <v>0</v>
      </c>
      <c r="BI101" s="109">
        <f t="shared" si="52"/>
        <v>0</v>
      </c>
      <c r="BJ101" s="121"/>
      <c r="BK101" s="109">
        <f>AZ101+Exploration!R46</f>
        <v>0</v>
      </c>
      <c r="BL101" s="109">
        <f>AY101+(BA101+BB101+BC101+IF(Input!$B$17="Shore",0,Development!BD101)+BE101)*(1+'Cost Assumptions'!$O$101)+BF101</f>
        <v>0</v>
      </c>
      <c r="BM101" s="109">
        <f>IF(Input!$B$17="Shore",Development!BD101,0)*(1+'Cost Assumptions'!$O$101)+BG101</f>
        <v>0</v>
      </c>
      <c r="BN101" s="105"/>
      <c r="BO101" s="105"/>
      <c r="BP101" s="109">
        <f t="shared" si="37"/>
        <v>0</v>
      </c>
      <c r="BQ101" s="145"/>
      <c r="BR101" s="105"/>
      <c r="BS101" s="109">
        <f t="shared" ca="1" si="38"/>
        <v>0</v>
      </c>
      <c r="BT101" s="109">
        <f t="shared" ca="1" si="39"/>
        <v>0</v>
      </c>
      <c r="BU101" s="109">
        <f t="shared" ca="1" si="40"/>
        <v>0</v>
      </c>
      <c r="BV101" s="109">
        <f t="shared" ca="1" si="41"/>
        <v>0</v>
      </c>
      <c r="BW101" s="109">
        <f t="shared" ca="1" si="42"/>
        <v>0</v>
      </c>
      <c r="BX101" s="109">
        <f t="shared" ca="1" si="43"/>
        <v>0</v>
      </c>
      <c r="BY101" s="109">
        <f t="shared" ca="1" si="44"/>
        <v>0</v>
      </c>
      <c r="BZ101" s="109">
        <f t="shared" ca="1" si="45"/>
        <v>0</v>
      </c>
      <c r="CA101" s="109">
        <f t="shared" ca="1" si="46"/>
        <v>0</v>
      </c>
      <c r="CB101" s="109">
        <f t="shared" ca="1" si="47"/>
        <v>0</v>
      </c>
      <c r="CC101" s="109">
        <f t="shared" ca="1" si="53"/>
        <v>0</v>
      </c>
      <c r="CD101" s="109"/>
      <c r="CE101" s="109">
        <f t="shared" si="54"/>
        <v>0</v>
      </c>
    </row>
    <row r="102" spans="1:83">
      <c r="A102" s="90">
        <f>A101+1</f>
        <v>2033</v>
      </c>
      <c r="B102" s="109">
        <f t="shared" si="32"/>
        <v>0</v>
      </c>
      <c r="C102" s="109">
        <f t="shared" ref="C102:P111" si="58">IF($A102=INDEX($H$41:$N$54,C$87,1),INDEX($O$41:$Y$54,C$87,1),IF($A102=INDEX($H$41:$N$54,C$87,2),INDEX($O$41:$Y$54,C$87,2),IF($A102=INDEX($H$41:$N$54,C$87,3),INDEX($O$41:$Y$54,C$87,3),IF($A102=INDEX($H$41:$N$54,C$87,4),INDEX($O$41:$Y$54,C$87,4),IF($A102=INDEX($H$41:$N$54,C$87,5),INDEX($O$41:$Y$54,C$87,5),IF($A102=INDEX($H$41:$N$54,C$87,6),INDEX($O$41:$Y$54,C$87,6),IF($A102=INDEX($H$41:$N$54,C$87,7),INDEX($O$41:$Y$54,C$87,7),0)))))))/1000</f>
        <v>0</v>
      </c>
      <c r="D102" s="109">
        <f t="shared" si="58"/>
        <v>0</v>
      </c>
      <c r="E102" s="109">
        <f t="shared" si="58"/>
        <v>0</v>
      </c>
      <c r="F102" s="109">
        <f t="shared" si="58"/>
        <v>0</v>
      </c>
      <c r="G102" s="109">
        <f t="shared" si="58"/>
        <v>0</v>
      </c>
      <c r="H102" s="109">
        <f t="shared" si="58"/>
        <v>0</v>
      </c>
      <c r="I102" s="109">
        <f t="shared" si="58"/>
        <v>0</v>
      </c>
      <c r="J102" s="109">
        <f t="shared" si="58"/>
        <v>0</v>
      </c>
      <c r="K102" s="109">
        <f t="shared" si="58"/>
        <v>0</v>
      </c>
      <c r="L102" s="109">
        <f t="shared" si="58"/>
        <v>0</v>
      </c>
      <c r="M102" s="109">
        <f t="shared" si="58"/>
        <v>0</v>
      </c>
      <c r="N102" s="109">
        <f t="shared" si="58"/>
        <v>0</v>
      </c>
      <c r="O102" s="109">
        <f t="shared" si="58"/>
        <v>0</v>
      </c>
      <c r="P102" s="109">
        <f t="shared" si="58"/>
        <v>0</v>
      </c>
      <c r="Q102" s="109">
        <f t="shared" si="48"/>
        <v>0</v>
      </c>
      <c r="R102" s="109">
        <f t="shared" si="34"/>
        <v>0</v>
      </c>
      <c r="S102" s="109">
        <f t="shared" si="34"/>
        <v>0</v>
      </c>
      <c r="T102" s="109">
        <f t="shared" si="34"/>
        <v>0</v>
      </c>
      <c r="U102" s="109">
        <f t="shared" si="34"/>
        <v>0</v>
      </c>
      <c r="V102" s="109">
        <f>'Cost Assumptions'!$O$100*SUM(Development!R102:U102)</f>
        <v>0</v>
      </c>
      <c r="W102" s="109">
        <f t="shared" si="56"/>
        <v>0</v>
      </c>
      <c r="X102" s="109">
        <f t="shared" si="49"/>
        <v>0</v>
      </c>
      <c r="Y102" s="109">
        <f>'Cost Assumptions'!$O$101*SUM(Development!R102:V102)</f>
        <v>0</v>
      </c>
      <c r="Z102" s="109">
        <f t="shared" si="35"/>
        <v>0</v>
      </c>
      <c r="AA102" s="121"/>
      <c r="AB102" s="148">
        <f t="shared" si="36"/>
        <v>5</v>
      </c>
      <c r="AC102" s="387">
        <f>IF(OR($AB102=0,$AB102&gt;40),0,INDEX('Devel Overrides'!D$28:D$68,$AB102+1,1)*$AB$86+INDEX('Devel Overrides'!D$28:D$68,$AB102,1)*$AC$87)*'Devel Overrides'!$F$19</f>
        <v>0</v>
      </c>
      <c r="AD102" s="387">
        <f>IF(OR($AB102=0,$AB102&gt;40),0,INDEX('Devel Overrides'!E$28:E$68,$AB102+1,1)*$AB$86+INDEX('Devel Overrides'!E$28:E$68,$AB102,1)*$AC$87)*'Devel Overrides'!$F$19</f>
        <v>0</v>
      </c>
      <c r="AE102" s="387">
        <f>IF(OR($AB102=0,$AB102&gt;40),0,INDEX('Devel Overrides'!F$28:F$68,$AB102+1,1)*$AB$86+INDEX('Devel Overrides'!F$28:F$68,$AB102,1)*$AC$87)*'Devel Overrides'!$F$19</f>
        <v>0</v>
      </c>
      <c r="AF102" s="387">
        <f>IF(OR($AB102=0,$AB102&gt;40),0,INDEX('Devel Overrides'!G$28:G$68,$AB102+1,1)*$AB$86+INDEX('Devel Overrides'!G$28:G$68,$AB102,1)*$AC$87)*'Devel Overrides'!$F$19</f>
        <v>0</v>
      </c>
      <c r="AG102" s="387">
        <f>IF(OR($AB102=0,$AB102&gt;40),0,INDEX('Devel Overrides'!H$28:H$68,$AB102+1,1)*$AB$86+INDEX('Devel Overrides'!H$28:H$68,$AB102,1)*$AC$87)*'Devel Overrides'!$F$19</f>
        <v>0</v>
      </c>
      <c r="AH102" s="387">
        <f>IF(OR($AB102=0,$AB102&gt;40),0,INDEX('Devel Overrides'!I$28:I$68,$AB102+1,1)*$AB$86+INDEX('Devel Overrides'!I$28:I$68,$AB102,1)*$AC$87)*'Devel Overrides'!$F$19</f>
        <v>0</v>
      </c>
      <c r="AI102" s="387">
        <f>IF(OR($AB102=0,$AB102&gt;40),0,INDEX('Devel Overrides'!J$28:J$68,$AB102+1,1)*$AB$86+INDEX('Devel Overrides'!J$28:J$68,$AB102,1)*$AC$87)*'Devel Overrides'!$F$19</f>
        <v>0</v>
      </c>
      <c r="AJ102" s="387">
        <f>IF(OR($AB102=0,$AB102&gt;40),0,INDEX('Devel Overrides'!K$28:K$68,$AB102+1,1)*$AB$86+INDEX('Devel Overrides'!K$28:K$68,$AB102,1)*$AC$87)*'Devel Overrides'!$F$19</f>
        <v>0</v>
      </c>
      <c r="AK102" s="387">
        <f>IF(OR($AB102=0,$AB102&gt;40),0,INDEX('Devel Overrides'!L$28:L$68,$AB102+1,1)*$AB$86+INDEX('Devel Overrides'!L$28:L$68,$AB102,1)*$AC$87)*'Devel Overrides'!$F$19</f>
        <v>0</v>
      </c>
      <c r="AL102" s="64"/>
      <c r="AM102" s="109">
        <f>B102*'Selected Economics'!$J21*'Sensitivity Ranges'!$F$43</f>
        <v>0</v>
      </c>
      <c r="AN102" s="109">
        <f>IF($AB$85=1,AC102,Q102)*'Selected Economics'!$J21*'Sensitivity Ranges'!$F$43</f>
        <v>0</v>
      </c>
      <c r="AO102" s="109">
        <f>IF($AB$85=1,AD102,R102)*'Selected Economics'!$J21*'Sensitivity Ranges'!$F$43</f>
        <v>0</v>
      </c>
      <c r="AP102" s="109">
        <f>IF($AB$85=1,AE102,S102)*'Selected Economics'!$J21*'Sensitivity Ranges'!$F$43</f>
        <v>0</v>
      </c>
      <c r="AQ102" s="109">
        <f>IF($AB$85=1,AF102,T102)*'Selected Economics'!$J21*'Sensitivity Ranges'!$F$43</f>
        <v>0</v>
      </c>
      <c r="AR102" s="109">
        <f>IF($AB$85=1,AG102,U102)*'Selected Economics'!$J21*'Sensitivity Ranges'!$F$43</f>
        <v>0</v>
      </c>
      <c r="AS102" s="109">
        <f>IF($AB$85=1,AH102,V102)*'Selected Economics'!$J21*'Sensitivity Ranges'!$F$43</f>
        <v>0</v>
      </c>
      <c r="AT102" s="109">
        <f>IF($AB$85=1,AI102,W102)*'Selected Economics'!$J21*'Sensitivity Ranges'!$F$43</f>
        <v>0</v>
      </c>
      <c r="AU102" s="109">
        <f>IF($AB$85=1,AJ102,X102)*'Selected Economics'!$J21*'Sensitivity Ranges'!$F$43</f>
        <v>0</v>
      </c>
      <c r="AV102" s="109">
        <f>IF($AB$85=1,AK102,Y102)*'Selected Economics'!$J21*'Sensitivity Ranges'!$F$43</f>
        <v>0</v>
      </c>
      <c r="AW102" s="109">
        <f t="shared" si="51"/>
        <v>0</v>
      </c>
      <c r="AX102" s="121"/>
      <c r="AY102" s="109">
        <f t="shared" si="57"/>
        <v>0</v>
      </c>
      <c r="AZ102" s="109">
        <f>AN102*Abandonment!$H26</f>
        <v>0</v>
      </c>
      <c r="BA102" s="109">
        <f>AO102*Abandonment!$H26</f>
        <v>0</v>
      </c>
      <c r="BB102" s="109">
        <f>AP102*Abandonment!$H26</f>
        <v>0</v>
      </c>
      <c r="BC102" s="109">
        <f>AQ102*Abandonment!$H26</f>
        <v>0</v>
      </c>
      <c r="BD102" s="109">
        <f>AR102*Abandonment!$H26</f>
        <v>0</v>
      </c>
      <c r="BE102" s="109">
        <f>AS102*Abandonment!$H26</f>
        <v>0</v>
      </c>
      <c r="BF102" s="109">
        <f>AT102*Abandonment!$H26</f>
        <v>0</v>
      </c>
      <c r="BG102" s="109">
        <f>AU102*Abandonment!$H26</f>
        <v>0</v>
      </c>
      <c r="BH102" s="109">
        <f>AV102*Abandonment!$H26</f>
        <v>0</v>
      </c>
      <c r="BI102" s="109">
        <f t="shared" si="52"/>
        <v>0</v>
      </c>
      <c r="BJ102" s="121"/>
      <c r="BK102" s="109">
        <f>AZ102+Exploration!R47</f>
        <v>0</v>
      </c>
      <c r="BL102" s="109">
        <f>AY102+(BA102+BB102+BC102+IF(Input!$B$17="Shore",0,Development!BD102)+BE102)*(1+'Cost Assumptions'!$O$101)+BF102</f>
        <v>0</v>
      </c>
      <c r="BM102" s="109">
        <f>IF(Input!$B$17="Shore",Development!BD102,0)*(1+'Cost Assumptions'!$O$101)+BG102</f>
        <v>0</v>
      </c>
      <c r="BN102" s="105"/>
      <c r="BO102" s="105"/>
      <c r="BP102" s="109">
        <f t="shared" si="37"/>
        <v>0</v>
      </c>
      <c r="BQ102" s="145"/>
      <c r="BR102" s="105"/>
      <c r="BS102" s="109">
        <f t="shared" ca="1" si="38"/>
        <v>0</v>
      </c>
      <c r="BT102" s="109">
        <f t="shared" ca="1" si="39"/>
        <v>0</v>
      </c>
      <c r="BU102" s="109">
        <f t="shared" ca="1" si="40"/>
        <v>0</v>
      </c>
      <c r="BV102" s="109">
        <f t="shared" ca="1" si="41"/>
        <v>0</v>
      </c>
      <c r="BW102" s="109">
        <f t="shared" ca="1" si="42"/>
        <v>0</v>
      </c>
      <c r="BX102" s="109">
        <f t="shared" ca="1" si="43"/>
        <v>0</v>
      </c>
      <c r="BY102" s="109">
        <f t="shared" ca="1" si="44"/>
        <v>0</v>
      </c>
      <c r="BZ102" s="109">
        <f t="shared" ca="1" si="45"/>
        <v>0</v>
      </c>
      <c r="CA102" s="109">
        <f t="shared" ca="1" si="46"/>
        <v>0</v>
      </c>
      <c r="CB102" s="109">
        <f t="shared" ca="1" si="47"/>
        <v>0</v>
      </c>
      <c r="CC102" s="109">
        <f t="shared" ca="1" si="53"/>
        <v>0</v>
      </c>
      <c r="CD102" s="109"/>
      <c r="CE102" s="109">
        <f t="shared" si="54"/>
        <v>0</v>
      </c>
    </row>
    <row r="103" spans="1:83">
      <c r="A103" s="90">
        <f t="shared" si="55"/>
        <v>2034</v>
      </c>
      <c r="B103" s="109">
        <f t="shared" si="32"/>
        <v>0</v>
      </c>
      <c r="C103" s="109">
        <f t="shared" si="58"/>
        <v>0</v>
      </c>
      <c r="D103" s="109">
        <f t="shared" si="58"/>
        <v>0</v>
      </c>
      <c r="E103" s="109">
        <f t="shared" si="58"/>
        <v>0</v>
      </c>
      <c r="F103" s="109">
        <f t="shared" si="58"/>
        <v>0</v>
      </c>
      <c r="G103" s="109">
        <f t="shared" si="58"/>
        <v>0</v>
      </c>
      <c r="H103" s="109">
        <f t="shared" si="58"/>
        <v>0</v>
      </c>
      <c r="I103" s="109">
        <f t="shared" si="58"/>
        <v>0</v>
      </c>
      <c r="J103" s="109">
        <f t="shared" si="58"/>
        <v>0</v>
      </c>
      <c r="K103" s="109">
        <f t="shared" si="58"/>
        <v>0</v>
      </c>
      <c r="L103" s="109">
        <f t="shared" si="58"/>
        <v>0</v>
      </c>
      <c r="M103" s="109">
        <f t="shared" si="58"/>
        <v>0</v>
      </c>
      <c r="N103" s="109">
        <f t="shared" si="58"/>
        <v>0</v>
      </c>
      <c r="O103" s="109">
        <f t="shared" si="58"/>
        <v>0</v>
      </c>
      <c r="P103" s="109">
        <f t="shared" si="58"/>
        <v>0</v>
      </c>
      <c r="Q103" s="109">
        <f t="shared" si="48"/>
        <v>0</v>
      </c>
      <c r="R103" s="109">
        <f t="shared" si="34"/>
        <v>0</v>
      </c>
      <c r="S103" s="109">
        <f t="shared" si="34"/>
        <v>0</v>
      </c>
      <c r="T103" s="109">
        <f t="shared" si="34"/>
        <v>0</v>
      </c>
      <c r="U103" s="109">
        <f t="shared" si="34"/>
        <v>0</v>
      </c>
      <c r="V103" s="109">
        <f>'Cost Assumptions'!$O$100*SUM(Development!R103:U103)</f>
        <v>0</v>
      </c>
      <c r="W103" s="109">
        <f t="shared" si="56"/>
        <v>0</v>
      </c>
      <c r="X103" s="109">
        <f t="shared" si="49"/>
        <v>0</v>
      </c>
      <c r="Y103" s="109">
        <f>'Cost Assumptions'!$O$101*SUM(Development!R103:V103)</f>
        <v>0</v>
      </c>
      <c r="Z103" s="109">
        <f t="shared" si="35"/>
        <v>0</v>
      </c>
      <c r="AA103" s="121"/>
      <c r="AB103" s="148">
        <f t="shared" si="36"/>
        <v>6</v>
      </c>
      <c r="AC103" s="387">
        <f>IF(OR($AB103=0,$AB103&gt;40),0,INDEX('Devel Overrides'!D$28:D$68,$AB103+1,1)*$AB$86+INDEX('Devel Overrides'!D$28:D$68,$AB103,1)*$AC$87)*'Devel Overrides'!$F$19</f>
        <v>0</v>
      </c>
      <c r="AD103" s="387">
        <f>IF(OR($AB103=0,$AB103&gt;40),0,INDEX('Devel Overrides'!E$28:E$68,$AB103+1,1)*$AB$86+INDEX('Devel Overrides'!E$28:E$68,$AB103,1)*$AC$87)*'Devel Overrides'!$F$19</f>
        <v>0</v>
      </c>
      <c r="AE103" s="387">
        <f>IF(OR($AB103=0,$AB103&gt;40),0,INDEX('Devel Overrides'!F$28:F$68,$AB103+1,1)*$AB$86+INDEX('Devel Overrides'!F$28:F$68,$AB103,1)*$AC$87)*'Devel Overrides'!$F$19</f>
        <v>0</v>
      </c>
      <c r="AF103" s="387">
        <f>IF(OR($AB103=0,$AB103&gt;40),0,INDEX('Devel Overrides'!G$28:G$68,$AB103+1,1)*$AB$86+INDEX('Devel Overrides'!G$28:G$68,$AB103,1)*$AC$87)*'Devel Overrides'!$F$19</f>
        <v>0</v>
      </c>
      <c r="AG103" s="387">
        <f>IF(OR($AB103=0,$AB103&gt;40),0,INDEX('Devel Overrides'!H$28:H$68,$AB103+1,1)*$AB$86+INDEX('Devel Overrides'!H$28:H$68,$AB103,1)*$AC$87)*'Devel Overrides'!$F$19</f>
        <v>0</v>
      </c>
      <c r="AH103" s="387">
        <f>IF(OR($AB103=0,$AB103&gt;40),0,INDEX('Devel Overrides'!I$28:I$68,$AB103+1,1)*$AB$86+INDEX('Devel Overrides'!I$28:I$68,$AB103,1)*$AC$87)*'Devel Overrides'!$F$19</f>
        <v>0</v>
      </c>
      <c r="AI103" s="387">
        <f>IF(OR($AB103=0,$AB103&gt;40),0,INDEX('Devel Overrides'!J$28:J$68,$AB103+1,1)*$AB$86+INDEX('Devel Overrides'!J$28:J$68,$AB103,1)*$AC$87)*'Devel Overrides'!$F$19</f>
        <v>0</v>
      </c>
      <c r="AJ103" s="387">
        <f>IF(OR($AB103=0,$AB103&gt;40),0,INDEX('Devel Overrides'!K$28:K$68,$AB103+1,1)*$AB$86+INDEX('Devel Overrides'!K$28:K$68,$AB103,1)*$AC$87)*'Devel Overrides'!$F$19</f>
        <v>0</v>
      </c>
      <c r="AK103" s="387">
        <f>IF(OR($AB103=0,$AB103&gt;40),0,INDEX('Devel Overrides'!L$28:L$68,$AB103+1,1)*$AB$86+INDEX('Devel Overrides'!L$28:L$68,$AB103,1)*$AC$87)*'Devel Overrides'!$F$19</f>
        <v>0</v>
      </c>
      <c r="AL103" s="64"/>
      <c r="AM103" s="109">
        <f>B103*'Selected Economics'!$J22*'Sensitivity Ranges'!$F$43</f>
        <v>0</v>
      </c>
      <c r="AN103" s="109">
        <f>IF($AB$85=1,AC103,Q103)*'Selected Economics'!$J22*'Sensitivity Ranges'!$F$43</f>
        <v>0</v>
      </c>
      <c r="AO103" s="109">
        <f>IF($AB$85=1,AD103,R103)*'Selected Economics'!$J22*'Sensitivity Ranges'!$F$43</f>
        <v>0</v>
      </c>
      <c r="AP103" s="109">
        <f>IF($AB$85=1,AE103,S103)*'Selected Economics'!$J22*'Sensitivity Ranges'!$F$43</f>
        <v>0</v>
      </c>
      <c r="AQ103" s="109">
        <f>IF($AB$85=1,AF103,T103)*'Selected Economics'!$J22*'Sensitivity Ranges'!$F$43</f>
        <v>0</v>
      </c>
      <c r="AR103" s="109">
        <f>IF($AB$85=1,AG103,U103)*'Selected Economics'!$J22*'Sensitivity Ranges'!$F$43</f>
        <v>0</v>
      </c>
      <c r="AS103" s="109">
        <f>IF($AB$85=1,AH103,V103)*'Selected Economics'!$J22*'Sensitivity Ranges'!$F$43</f>
        <v>0</v>
      </c>
      <c r="AT103" s="109">
        <f>IF($AB$85=1,AI103,W103)*'Selected Economics'!$J22*'Sensitivity Ranges'!$F$43</f>
        <v>0</v>
      </c>
      <c r="AU103" s="109">
        <f>IF($AB$85=1,AJ103,X103)*'Selected Economics'!$J22*'Sensitivity Ranges'!$F$43</f>
        <v>0</v>
      </c>
      <c r="AV103" s="109">
        <f>IF($AB$85=1,AK103,Y103)*'Selected Economics'!$J22*'Sensitivity Ranges'!$F$43</f>
        <v>0</v>
      </c>
      <c r="AW103" s="109">
        <f t="shared" si="51"/>
        <v>0</v>
      </c>
      <c r="AX103" s="121"/>
      <c r="AY103" s="109">
        <f t="shared" si="57"/>
        <v>0</v>
      </c>
      <c r="AZ103" s="109">
        <f>AN103*Abandonment!$H27</f>
        <v>0</v>
      </c>
      <c r="BA103" s="109">
        <f>AO103*Abandonment!$H27</f>
        <v>0</v>
      </c>
      <c r="BB103" s="109">
        <f>AP103*Abandonment!$H27</f>
        <v>0</v>
      </c>
      <c r="BC103" s="109">
        <f>AQ103*Abandonment!$H27</f>
        <v>0</v>
      </c>
      <c r="BD103" s="109">
        <f>AR103*Abandonment!$H27</f>
        <v>0</v>
      </c>
      <c r="BE103" s="109">
        <f>AS103*Abandonment!$H27</f>
        <v>0</v>
      </c>
      <c r="BF103" s="109">
        <f>AT103*Abandonment!$H27</f>
        <v>0</v>
      </c>
      <c r="BG103" s="109">
        <f>AU103*Abandonment!$H27</f>
        <v>0</v>
      </c>
      <c r="BH103" s="109">
        <f>AV103*Abandonment!$H27</f>
        <v>0</v>
      </c>
      <c r="BI103" s="109">
        <f t="shared" si="52"/>
        <v>0</v>
      </c>
      <c r="BJ103" s="121"/>
      <c r="BK103" s="109">
        <f>AZ103+Exploration!R48</f>
        <v>0</v>
      </c>
      <c r="BL103" s="109">
        <f>AY103+(BA103+BB103+BC103+IF(Input!$B$17="Shore",0,Development!BD103)+BE103)*(1+'Cost Assumptions'!$O$101)+BF103</f>
        <v>0</v>
      </c>
      <c r="BM103" s="109">
        <f>IF(Input!$B$17="Shore",Development!BD103,0)*(1+'Cost Assumptions'!$O$101)+BG103</f>
        <v>0</v>
      </c>
      <c r="BN103" s="105"/>
      <c r="BO103" s="105"/>
      <c r="BP103" s="109">
        <f t="shared" si="37"/>
        <v>0</v>
      </c>
      <c r="BQ103" s="145"/>
      <c r="BR103" s="105"/>
      <c r="BS103" s="109">
        <f t="shared" ca="1" si="38"/>
        <v>0</v>
      </c>
      <c r="BT103" s="109">
        <f t="shared" ca="1" si="39"/>
        <v>0</v>
      </c>
      <c r="BU103" s="109">
        <f t="shared" ca="1" si="40"/>
        <v>0</v>
      </c>
      <c r="BV103" s="109">
        <f t="shared" ca="1" si="41"/>
        <v>0</v>
      </c>
      <c r="BW103" s="109">
        <f t="shared" ca="1" si="42"/>
        <v>0</v>
      </c>
      <c r="BX103" s="109">
        <f t="shared" ca="1" si="43"/>
        <v>0</v>
      </c>
      <c r="BY103" s="109">
        <f t="shared" ca="1" si="44"/>
        <v>0</v>
      </c>
      <c r="BZ103" s="109">
        <f t="shared" ca="1" si="45"/>
        <v>0</v>
      </c>
      <c r="CA103" s="109">
        <f t="shared" ca="1" si="46"/>
        <v>0</v>
      </c>
      <c r="CB103" s="109">
        <f t="shared" ca="1" si="47"/>
        <v>0</v>
      </c>
      <c r="CC103" s="109">
        <f t="shared" ca="1" si="53"/>
        <v>0</v>
      </c>
      <c r="CD103" s="109"/>
      <c r="CE103" s="109">
        <f t="shared" si="54"/>
        <v>0</v>
      </c>
    </row>
    <row r="104" spans="1:83">
      <c r="A104" s="90">
        <f t="shared" si="55"/>
        <v>2035</v>
      </c>
      <c r="B104" s="109">
        <f t="shared" si="32"/>
        <v>0</v>
      </c>
      <c r="C104" s="109">
        <f t="shared" si="58"/>
        <v>0</v>
      </c>
      <c r="D104" s="109">
        <f t="shared" si="58"/>
        <v>0</v>
      </c>
      <c r="E104" s="109">
        <f t="shared" si="58"/>
        <v>0</v>
      </c>
      <c r="F104" s="109">
        <f t="shared" si="58"/>
        <v>0</v>
      </c>
      <c r="G104" s="109">
        <f t="shared" si="58"/>
        <v>0</v>
      </c>
      <c r="H104" s="109">
        <f t="shared" si="58"/>
        <v>0</v>
      </c>
      <c r="I104" s="109">
        <f t="shared" si="58"/>
        <v>0</v>
      </c>
      <c r="J104" s="109">
        <f t="shared" si="58"/>
        <v>0</v>
      </c>
      <c r="K104" s="109">
        <f t="shared" si="58"/>
        <v>0</v>
      </c>
      <c r="L104" s="109">
        <f t="shared" si="58"/>
        <v>0</v>
      </c>
      <c r="M104" s="109">
        <f t="shared" si="58"/>
        <v>0</v>
      </c>
      <c r="N104" s="109">
        <f t="shared" si="58"/>
        <v>0</v>
      </c>
      <c r="O104" s="109">
        <f t="shared" si="58"/>
        <v>0</v>
      </c>
      <c r="P104" s="109">
        <f t="shared" si="58"/>
        <v>0</v>
      </c>
      <c r="Q104" s="109">
        <f t="shared" si="48"/>
        <v>0</v>
      </c>
      <c r="R104" s="109">
        <f t="shared" si="34"/>
        <v>0</v>
      </c>
      <c r="S104" s="109">
        <f t="shared" si="34"/>
        <v>0</v>
      </c>
      <c r="T104" s="109">
        <f t="shared" si="34"/>
        <v>0</v>
      </c>
      <c r="U104" s="109">
        <f t="shared" si="34"/>
        <v>0</v>
      </c>
      <c r="V104" s="109">
        <f>'Cost Assumptions'!$O$100*SUM(Development!R104:U104)</f>
        <v>0</v>
      </c>
      <c r="W104" s="109">
        <f t="shared" si="56"/>
        <v>0</v>
      </c>
      <c r="X104" s="109">
        <f t="shared" si="49"/>
        <v>0</v>
      </c>
      <c r="Y104" s="109">
        <f>'Cost Assumptions'!$O$101*SUM(Development!R104:V104)</f>
        <v>0</v>
      </c>
      <c r="Z104" s="109">
        <f t="shared" si="35"/>
        <v>0</v>
      </c>
      <c r="AA104" s="121"/>
      <c r="AB104" s="148">
        <f t="shared" si="36"/>
        <v>7</v>
      </c>
      <c r="AC104" s="387">
        <f>IF(OR($AB104=0,$AB104&gt;40),0,INDEX('Devel Overrides'!D$28:D$68,$AB104+1,1)*$AB$86+INDEX('Devel Overrides'!D$28:D$68,$AB104,1)*$AC$87)*'Devel Overrides'!$F$19</f>
        <v>0</v>
      </c>
      <c r="AD104" s="387">
        <f>IF(OR($AB104=0,$AB104&gt;40),0,INDEX('Devel Overrides'!E$28:E$68,$AB104+1,1)*$AB$86+INDEX('Devel Overrides'!E$28:E$68,$AB104,1)*$AC$87)*'Devel Overrides'!$F$19</f>
        <v>0</v>
      </c>
      <c r="AE104" s="387">
        <f>IF(OR($AB104=0,$AB104&gt;40),0,INDEX('Devel Overrides'!F$28:F$68,$AB104+1,1)*$AB$86+INDEX('Devel Overrides'!F$28:F$68,$AB104,1)*$AC$87)*'Devel Overrides'!$F$19</f>
        <v>0</v>
      </c>
      <c r="AF104" s="387">
        <f>IF(OR($AB104=0,$AB104&gt;40),0,INDEX('Devel Overrides'!G$28:G$68,$AB104+1,1)*$AB$86+INDEX('Devel Overrides'!G$28:G$68,$AB104,1)*$AC$87)*'Devel Overrides'!$F$19</f>
        <v>0</v>
      </c>
      <c r="AG104" s="387">
        <f>IF(OR($AB104=0,$AB104&gt;40),0,INDEX('Devel Overrides'!H$28:H$68,$AB104+1,1)*$AB$86+INDEX('Devel Overrides'!H$28:H$68,$AB104,1)*$AC$87)*'Devel Overrides'!$F$19</f>
        <v>0</v>
      </c>
      <c r="AH104" s="387">
        <f>IF(OR($AB104=0,$AB104&gt;40),0,INDEX('Devel Overrides'!I$28:I$68,$AB104+1,1)*$AB$86+INDEX('Devel Overrides'!I$28:I$68,$AB104,1)*$AC$87)*'Devel Overrides'!$F$19</f>
        <v>0</v>
      </c>
      <c r="AI104" s="387">
        <f>IF(OR($AB104=0,$AB104&gt;40),0,INDEX('Devel Overrides'!J$28:J$68,$AB104+1,1)*$AB$86+INDEX('Devel Overrides'!J$28:J$68,$AB104,1)*$AC$87)*'Devel Overrides'!$F$19</f>
        <v>0</v>
      </c>
      <c r="AJ104" s="387">
        <f>IF(OR($AB104=0,$AB104&gt;40),0,INDEX('Devel Overrides'!K$28:K$68,$AB104+1,1)*$AB$86+INDEX('Devel Overrides'!K$28:K$68,$AB104,1)*$AC$87)*'Devel Overrides'!$F$19</f>
        <v>0</v>
      </c>
      <c r="AK104" s="387">
        <f>IF(OR($AB104=0,$AB104&gt;40),0,INDEX('Devel Overrides'!L$28:L$68,$AB104+1,1)*$AB$86+INDEX('Devel Overrides'!L$28:L$68,$AB104,1)*$AC$87)*'Devel Overrides'!$F$19</f>
        <v>0</v>
      </c>
      <c r="AL104" s="64"/>
      <c r="AM104" s="109">
        <f>B104*'Selected Economics'!$J23*'Sensitivity Ranges'!$F$43</f>
        <v>0</v>
      </c>
      <c r="AN104" s="109">
        <f>IF($AB$85=1,AC104,Q104)*'Selected Economics'!$J23*'Sensitivity Ranges'!$F$43</f>
        <v>0</v>
      </c>
      <c r="AO104" s="109">
        <f>IF($AB$85=1,AD104,R104)*'Selected Economics'!$J23*'Sensitivity Ranges'!$F$43</f>
        <v>0</v>
      </c>
      <c r="AP104" s="109">
        <f>IF($AB$85=1,AE104,S104)*'Selected Economics'!$J23*'Sensitivity Ranges'!$F$43</f>
        <v>0</v>
      </c>
      <c r="AQ104" s="109">
        <f>IF($AB$85=1,AF104,T104)*'Selected Economics'!$J23*'Sensitivity Ranges'!$F$43</f>
        <v>0</v>
      </c>
      <c r="AR104" s="109">
        <f>IF($AB$85=1,AG104,U104)*'Selected Economics'!$J23*'Sensitivity Ranges'!$F$43</f>
        <v>0</v>
      </c>
      <c r="AS104" s="109">
        <f>IF($AB$85=1,AH104,V104)*'Selected Economics'!$J23*'Sensitivity Ranges'!$F$43</f>
        <v>0</v>
      </c>
      <c r="AT104" s="109">
        <f>IF($AB$85=1,AI104,W104)*'Selected Economics'!$J23*'Sensitivity Ranges'!$F$43</f>
        <v>0</v>
      </c>
      <c r="AU104" s="109">
        <f>IF($AB$85=1,AJ104,X104)*'Selected Economics'!$J23*'Sensitivity Ranges'!$F$43</f>
        <v>0</v>
      </c>
      <c r="AV104" s="109">
        <f>IF($AB$85=1,AK104,Y104)*'Selected Economics'!$J23*'Sensitivity Ranges'!$F$43</f>
        <v>0</v>
      </c>
      <c r="AW104" s="109">
        <f t="shared" si="51"/>
        <v>0</v>
      </c>
      <c r="AX104" s="121"/>
      <c r="AY104" s="109">
        <f t="shared" si="57"/>
        <v>0</v>
      </c>
      <c r="AZ104" s="109">
        <f>AN104*Abandonment!$H28</f>
        <v>0</v>
      </c>
      <c r="BA104" s="109">
        <f>AO104*Abandonment!$H28</f>
        <v>0</v>
      </c>
      <c r="BB104" s="109">
        <f>AP104*Abandonment!$H28</f>
        <v>0</v>
      </c>
      <c r="BC104" s="109">
        <f>AQ104*Abandonment!$H28</f>
        <v>0</v>
      </c>
      <c r="BD104" s="109">
        <f>AR104*Abandonment!$H28</f>
        <v>0</v>
      </c>
      <c r="BE104" s="109">
        <f>AS104*Abandonment!$H28</f>
        <v>0</v>
      </c>
      <c r="BF104" s="109">
        <f>AT104*Abandonment!$H28</f>
        <v>0</v>
      </c>
      <c r="BG104" s="109">
        <f>AU104*Abandonment!$H28</f>
        <v>0</v>
      </c>
      <c r="BH104" s="109">
        <f>AV104*Abandonment!$H28</f>
        <v>0</v>
      </c>
      <c r="BI104" s="109">
        <f t="shared" si="52"/>
        <v>0</v>
      </c>
      <c r="BJ104" s="121"/>
      <c r="BK104" s="109">
        <f>AZ104+Exploration!R49</f>
        <v>0</v>
      </c>
      <c r="BL104" s="109">
        <f>AY104+(BA104+BB104+BC104+IF(Input!$B$17="Shore",0,Development!BD104)+BE104)*(1+'Cost Assumptions'!$O$101)+BF104</f>
        <v>0</v>
      </c>
      <c r="BM104" s="109">
        <f>IF(Input!$B$17="Shore",Development!BD104,0)*(1+'Cost Assumptions'!$O$101)+BG104</f>
        <v>0</v>
      </c>
      <c r="BN104" s="105"/>
      <c r="BO104" s="105"/>
      <c r="BP104" s="109">
        <f t="shared" si="37"/>
        <v>0</v>
      </c>
      <c r="BQ104" s="145"/>
      <c r="BR104" s="105"/>
      <c r="BS104" s="109">
        <f t="shared" ca="1" si="38"/>
        <v>0</v>
      </c>
      <c r="BT104" s="109">
        <f t="shared" ca="1" si="39"/>
        <v>0</v>
      </c>
      <c r="BU104" s="109">
        <f t="shared" ca="1" si="40"/>
        <v>0</v>
      </c>
      <c r="BV104" s="109">
        <f t="shared" ca="1" si="41"/>
        <v>0</v>
      </c>
      <c r="BW104" s="109">
        <f t="shared" ca="1" si="42"/>
        <v>0</v>
      </c>
      <c r="BX104" s="109">
        <f t="shared" ca="1" si="43"/>
        <v>0</v>
      </c>
      <c r="BY104" s="109">
        <f t="shared" ca="1" si="44"/>
        <v>0</v>
      </c>
      <c r="BZ104" s="109">
        <f t="shared" ca="1" si="45"/>
        <v>0</v>
      </c>
      <c r="CA104" s="109">
        <f t="shared" ca="1" si="46"/>
        <v>0</v>
      </c>
      <c r="CB104" s="109">
        <f t="shared" ca="1" si="47"/>
        <v>0</v>
      </c>
      <c r="CC104" s="109">
        <f t="shared" ca="1" si="53"/>
        <v>0</v>
      </c>
      <c r="CD104" s="109"/>
      <c r="CE104" s="109">
        <f t="shared" si="54"/>
        <v>0</v>
      </c>
    </row>
    <row r="105" spans="1:83">
      <c r="A105" s="90">
        <f t="shared" si="55"/>
        <v>2036</v>
      </c>
      <c r="B105" s="109">
        <f t="shared" si="32"/>
        <v>0</v>
      </c>
      <c r="C105" s="109">
        <f t="shared" si="58"/>
        <v>0</v>
      </c>
      <c r="D105" s="109">
        <f t="shared" si="58"/>
        <v>0</v>
      </c>
      <c r="E105" s="109">
        <f t="shared" si="58"/>
        <v>0</v>
      </c>
      <c r="F105" s="109">
        <f t="shared" si="58"/>
        <v>0</v>
      </c>
      <c r="G105" s="109">
        <f t="shared" si="58"/>
        <v>0</v>
      </c>
      <c r="H105" s="109">
        <f t="shared" si="58"/>
        <v>0</v>
      </c>
      <c r="I105" s="109">
        <f t="shared" si="58"/>
        <v>0</v>
      </c>
      <c r="J105" s="109">
        <f t="shared" si="58"/>
        <v>0</v>
      </c>
      <c r="K105" s="109">
        <f t="shared" si="58"/>
        <v>0</v>
      </c>
      <c r="L105" s="109">
        <f t="shared" si="58"/>
        <v>0</v>
      </c>
      <c r="M105" s="109">
        <f t="shared" si="58"/>
        <v>0</v>
      </c>
      <c r="N105" s="109">
        <f t="shared" si="58"/>
        <v>0</v>
      </c>
      <c r="O105" s="109">
        <f t="shared" si="58"/>
        <v>0</v>
      </c>
      <c r="P105" s="109">
        <f t="shared" si="58"/>
        <v>0</v>
      </c>
      <c r="Q105" s="109">
        <f t="shared" si="48"/>
        <v>0</v>
      </c>
      <c r="R105" s="109">
        <f t="shared" si="34"/>
        <v>0</v>
      </c>
      <c r="S105" s="109">
        <f t="shared" si="34"/>
        <v>0</v>
      </c>
      <c r="T105" s="109">
        <f t="shared" si="34"/>
        <v>0</v>
      </c>
      <c r="U105" s="109">
        <f t="shared" si="34"/>
        <v>0</v>
      </c>
      <c r="V105" s="109">
        <f>'Cost Assumptions'!$O$100*SUM(Development!R105:U105)</f>
        <v>0</v>
      </c>
      <c r="W105" s="109">
        <f t="shared" si="56"/>
        <v>0</v>
      </c>
      <c r="X105" s="109">
        <f t="shared" si="49"/>
        <v>0</v>
      </c>
      <c r="Y105" s="109">
        <f>'Cost Assumptions'!$O$101*SUM(Development!R105:V105)</f>
        <v>0</v>
      </c>
      <c r="Z105" s="109">
        <f t="shared" si="35"/>
        <v>0</v>
      </c>
      <c r="AA105" s="121"/>
      <c r="AB105" s="148">
        <f t="shared" si="36"/>
        <v>8</v>
      </c>
      <c r="AC105" s="387">
        <f>IF(OR($AB105=0,$AB105&gt;40),0,INDEX('Devel Overrides'!D$28:D$68,$AB105+1,1)*$AB$86+INDEX('Devel Overrides'!D$28:D$68,$AB105,1)*$AC$87)*'Devel Overrides'!$F$19</f>
        <v>0</v>
      </c>
      <c r="AD105" s="387">
        <f>IF(OR($AB105=0,$AB105&gt;40),0,INDEX('Devel Overrides'!E$28:E$68,$AB105+1,1)*$AB$86+INDEX('Devel Overrides'!E$28:E$68,$AB105,1)*$AC$87)*'Devel Overrides'!$F$19</f>
        <v>0</v>
      </c>
      <c r="AE105" s="387">
        <f>IF(OR($AB105=0,$AB105&gt;40),0,INDEX('Devel Overrides'!F$28:F$68,$AB105+1,1)*$AB$86+INDEX('Devel Overrides'!F$28:F$68,$AB105,1)*$AC$87)*'Devel Overrides'!$F$19</f>
        <v>0</v>
      </c>
      <c r="AF105" s="387">
        <f>IF(OR($AB105=0,$AB105&gt;40),0,INDEX('Devel Overrides'!G$28:G$68,$AB105+1,1)*$AB$86+INDEX('Devel Overrides'!G$28:G$68,$AB105,1)*$AC$87)*'Devel Overrides'!$F$19</f>
        <v>0</v>
      </c>
      <c r="AG105" s="387">
        <f>IF(OR($AB105=0,$AB105&gt;40),0,INDEX('Devel Overrides'!H$28:H$68,$AB105+1,1)*$AB$86+INDEX('Devel Overrides'!H$28:H$68,$AB105,1)*$AC$87)*'Devel Overrides'!$F$19</f>
        <v>0</v>
      </c>
      <c r="AH105" s="387">
        <f>IF(OR($AB105=0,$AB105&gt;40),0,INDEX('Devel Overrides'!I$28:I$68,$AB105+1,1)*$AB$86+INDEX('Devel Overrides'!I$28:I$68,$AB105,1)*$AC$87)*'Devel Overrides'!$F$19</f>
        <v>0</v>
      </c>
      <c r="AI105" s="387">
        <f>IF(OR($AB105=0,$AB105&gt;40),0,INDEX('Devel Overrides'!J$28:J$68,$AB105+1,1)*$AB$86+INDEX('Devel Overrides'!J$28:J$68,$AB105,1)*$AC$87)*'Devel Overrides'!$F$19</f>
        <v>0</v>
      </c>
      <c r="AJ105" s="387">
        <f>IF(OR($AB105=0,$AB105&gt;40),0,INDEX('Devel Overrides'!K$28:K$68,$AB105+1,1)*$AB$86+INDEX('Devel Overrides'!K$28:K$68,$AB105,1)*$AC$87)*'Devel Overrides'!$F$19</f>
        <v>0</v>
      </c>
      <c r="AK105" s="387">
        <f>IF(OR($AB105=0,$AB105&gt;40),0,INDEX('Devel Overrides'!L$28:L$68,$AB105+1,1)*$AB$86+INDEX('Devel Overrides'!L$28:L$68,$AB105,1)*$AC$87)*'Devel Overrides'!$F$19</f>
        <v>0</v>
      </c>
      <c r="AL105" s="64"/>
      <c r="AM105" s="109">
        <f>B105*'Selected Economics'!$J24*'Sensitivity Ranges'!$F$43</f>
        <v>0</v>
      </c>
      <c r="AN105" s="109">
        <f>IF($AB$85=1,AC105,Q105)*'Selected Economics'!$J24*'Sensitivity Ranges'!$F$43</f>
        <v>0</v>
      </c>
      <c r="AO105" s="109">
        <f>IF($AB$85=1,AD105,R105)*'Selected Economics'!$J24*'Sensitivity Ranges'!$F$43</f>
        <v>0</v>
      </c>
      <c r="AP105" s="109">
        <f>IF($AB$85=1,AE105,S105)*'Selected Economics'!$J24*'Sensitivity Ranges'!$F$43</f>
        <v>0</v>
      </c>
      <c r="AQ105" s="109">
        <f>IF($AB$85=1,AF105,T105)*'Selected Economics'!$J24*'Sensitivity Ranges'!$F$43</f>
        <v>0</v>
      </c>
      <c r="AR105" s="109">
        <f>IF($AB$85=1,AG105,U105)*'Selected Economics'!$J24*'Sensitivity Ranges'!$F$43</f>
        <v>0</v>
      </c>
      <c r="AS105" s="109">
        <f>IF($AB$85=1,AH105,V105)*'Selected Economics'!$J24*'Sensitivity Ranges'!$F$43</f>
        <v>0</v>
      </c>
      <c r="AT105" s="109">
        <f>IF($AB$85=1,AI105,W105)*'Selected Economics'!$J24*'Sensitivity Ranges'!$F$43</f>
        <v>0</v>
      </c>
      <c r="AU105" s="109">
        <f>IF($AB$85=1,AJ105,X105)*'Selected Economics'!$J24*'Sensitivity Ranges'!$F$43</f>
        <v>0</v>
      </c>
      <c r="AV105" s="109">
        <f>IF($AB$85=1,AK105,Y105)*'Selected Economics'!$J24*'Sensitivity Ranges'!$F$43</f>
        <v>0</v>
      </c>
      <c r="AW105" s="109">
        <f t="shared" si="51"/>
        <v>0</v>
      </c>
      <c r="AX105" s="121"/>
      <c r="AY105" s="109">
        <f t="shared" si="57"/>
        <v>0</v>
      </c>
      <c r="AZ105" s="109">
        <f>AN105*Abandonment!$H29</f>
        <v>0</v>
      </c>
      <c r="BA105" s="109">
        <f>AO105*Abandonment!$H29</f>
        <v>0</v>
      </c>
      <c r="BB105" s="109">
        <f>AP105*Abandonment!$H29</f>
        <v>0</v>
      </c>
      <c r="BC105" s="109">
        <f>AQ105*Abandonment!$H29</f>
        <v>0</v>
      </c>
      <c r="BD105" s="109">
        <f>AR105*Abandonment!$H29</f>
        <v>0</v>
      </c>
      <c r="BE105" s="109">
        <f>AS105*Abandonment!$H29</f>
        <v>0</v>
      </c>
      <c r="BF105" s="109">
        <f>AT105*Abandonment!$H29</f>
        <v>0</v>
      </c>
      <c r="BG105" s="109">
        <f>AU105*Abandonment!$H29</f>
        <v>0</v>
      </c>
      <c r="BH105" s="109">
        <f>AV105*Abandonment!$H29</f>
        <v>0</v>
      </c>
      <c r="BI105" s="109">
        <f t="shared" si="52"/>
        <v>0</v>
      </c>
      <c r="BJ105" s="121"/>
      <c r="BK105" s="109">
        <f>AZ105+Exploration!R50</f>
        <v>0</v>
      </c>
      <c r="BL105" s="109">
        <f>AY105+(BA105+BB105+BC105+IF(Input!$B$17="Shore",0,Development!BD105)+BE105)*(1+'Cost Assumptions'!$O$101)+BF105</f>
        <v>0</v>
      </c>
      <c r="BM105" s="109">
        <f>IF(Input!$B$17="Shore",Development!BD105,0)*(1+'Cost Assumptions'!$O$101)+BG105</f>
        <v>0</v>
      </c>
      <c r="BN105" s="105"/>
      <c r="BO105" s="105"/>
      <c r="BP105" s="109">
        <f t="shared" si="37"/>
        <v>0</v>
      </c>
      <c r="BQ105" s="145"/>
      <c r="BR105" s="105"/>
      <c r="BS105" s="109">
        <f t="shared" ca="1" si="38"/>
        <v>0</v>
      </c>
      <c r="BT105" s="109">
        <f t="shared" ca="1" si="39"/>
        <v>0</v>
      </c>
      <c r="BU105" s="109">
        <f t="shared" ca="1" si="40"/>
        <v>0</v>
      </c>
      <c r="BV105" s="109">
        <f t="shared" ca="1" si="41"/>
        <v>0</v>
      </c>
      <c r="BW105" s="109">
        <f t="shared" ca="1" si="42"/>
        <v>0</v>
      </c>
      <c r="BX105" s="109">
        <f t="shared" ca="1" si="43"/>
        <v>0</v>
      </c>
      <c r="BY105" s="109">
        <f t="shared" ca="1" si="44"/>
        <v>0</v>
      </c>
      <c r="BZ105" s="109">
        <f t="shared" ca="1" si="45"/>
        <v>0</v>
      </c>
      <c r="CA105" s="109">
        <f t="shared" ca="1" si="46"/>
        <v>0</v>
      </c>
      <c r="CB105" s="109">
        <f t="shared" ca="1" si="47"/>
        <v>0</v>
      </c>
      <c r="CC105" s="109">
        <f t="shared" ca="1" si="53"/>
        <v>0</v>
      </c>
      <c r="CD105" s="109"/>
      <c r="CE105" s="109">
        <f t="shared" si="54"/>
        <v>0</v>
      </c>
    </row>
    <row r="106" spans="1:83">
      <c r="A106" s="90">
        <f t="shared" si="55"/>
        <v>2037</v>
      </c>
      <c r="B106" s="109">
        <f t="shared" si="32"/>
        <v>0</v>
      </c>
      <c r="C106" s="109">
        <f t="shared" si="58"/>
        <v>0</v>
      </c>
      <c r="D106" s="109">
        <f t="shared" si="58"/>
        <v>0</v>
      </c>
      <c r="E106" s="109">
        <f t="shared" si="58"/>
        <v>0</v>
      </c>
      <c r="F106" s="109">
        <f t="shared" si="58"/>
        <v>0</v>
      </c>
      <c r="G106" s="109">
        <f t="shared" si="58"/>
        <v>0</v>
      </c>
      <c r="H106" s="109">
        <f t="shared" si="58"/>
        <v>0</v>
      </c>
      <c r="I106" s="109">
        <f t="shared" si="58"/>
        <v>0</v>
      </c>
      <c r="J106" s="109">
        <f t="shared" si="58"/>
        <v>0</v>
      </c>
      <c r="K106" s="109">
        <f t="shared" si="58"/>
        <v>0</v>
      </c>
      <c r="L106" s="109">
        <f t="shared" si="58"/>
        <v>0</v>
      </c>
      <c r="M106" s="109">
        <f t="shared" si="58"/>
        <v>0</v>
      </c>
      <c r="N106" s="109">
        <f t="shared" si="58"/>
        <v>0</v>
      </c>
      <c r="O106" s="109">
        <f t="shared" si="58"/>
        <v>0</v>
      </c>
      <c r="P106" s="109">
        <f t="shared" si="58"/>
        <v>0</v>
      </c>
      <c r="Q106" s="109">
        <f t="shared" si="48"/>
        <v>0</v>
      </c>
      <c r="R106" s="109">
        <f t="shared" si="34"/>
        <v>0</v>
      </c>
      <c r="S106" s="109">
        <f t="shared" si="34"/>
        <v>0</v>
      </c>
      <c r="T106" s="109">
        <f t="shared" si="34"/>
        <v>0</v>
      </c>
      <c r="U106" s="109">
        <f t="shared" si="34"/>
        <v>0</v>
      </c>
      <c r="V106" s="109">
        <f>'Cost Assumptions'!$O$100*SUM(Development!R106:U106)</f>
        <v>0</v>
      </c>
      <c r="W106" s="109">
        <f t="shared" si="56"/>
        <v>0</v>
      </c>
      <c r="X106" s="109">
        <f t="shared" si="49"/>
        <v>0</v>
      </c>
      <c r="Y106" s="109">
        <f>'Cost Assumptions'!$O$101*SUM(Development!R106:V106)</f>
        <v>0</v>
      </c>
      <c r="Z106" s="109">
        <f t="shared" si="35"/>
        <v>0</v>
      </c>
      <c r="AA106" s="121"/>
      <c r="AB106" s="148">
        <f t="shared" si="36"/>
        <v>9</v>
      </c>
      <c r="AC106" s="387">
        <f>IF(OR($AB106=0,$AB106&gt;40),0,INDEX('Devel Overrides'!D$28:D$68,$AB106+1,1)*$AB$86+INDEX('Devel Overrides'!D$28:D$68,$AB106,1)*$AC$87)*'Devel Overrides'!$F$19</f>
        <v>0</v>
      </c>
      <c r="AD106" s="387">
        <f>IF(OR($AB106=0,$AB106&gt;40),0,INDEX('Devel Overrides'!E$28:E$68,$AB106+1,1)*$AB$86+INDEX('Devel Overrides'!E$28:E$68,$AB106,1)*$AC$87)*'Devel Overrides'!$F$19</f>
        <v>0</v>
      </c>
      <c r="AE106" s="387">
        <f>IF(OR($AB106=0,$AB106&gt;40),0,INDEX('Devel Overrides'!F$28:F$68,$AB106+1,1)*$AB$86+INDEX('Devel Overrides'!F$28:F$68,$AB106,1)*$AC$87)*'Devel Overrides'!$F$19</f>
        <v>0</v>
      </c>
      <c r="AF106" s="387">
        <f>IF(OR($AB106=0,$AB106&gt;40),0,INDEX('Devel Overrides'!G$28:G$68,$AB106+1,1)*$AB$86+INDEX('Devel Overrides'!G$28:G$68,$AB106,1)*$AC$87)*'Devel Overrides'!$F$19</f>
        <v>0</v>
      </c>
      <c r="AG106" s="387">
        <f>IF(OR($AB106=0,$AB106&gt;40),0,INDEX('Devel Overrides'!H$28:H$68,$AB106+1,1)*$AB$86+INDEX('Devel Overrides'!H$28:H$68,$AB106,1)*$AC$87)*'Devel Overrides'!$F$19</f>
        <v>0</v>
      </c>
      <c r="AH106" s="387">
        <f>IF(OR($AB106=0,$AB106&gt;40),0,INDEX('Devel Overrides'!I$28:I$68,$AB106+1,1)*$AB$86+INDEX('Devel Overrides'!I$28:I$68,$AB106,1)*$AC$87)*'Devel Overrides'!$F$19</f>
        <v>0</v>
      </c>
      <c r="AI106" s="387">
        <f>IF(OR($AB106=0,$AB106&gt;40),0,INDEX('Devel Overrides'!J$28:J$68,$AB106+1,1)*$AB$86+INDEX('Devel Overrides'!J$28:J$68,$AB106,1)*$AC$87)*'Devel Overrides'!$F$19</f>
        <v>0</v>
      </c>
      <c r="AJ106" s="387">
        <f>IF(OR($AB106=0,$AB106&gt;40),0,INDEX('Devel Overrides'!K$28:K$68,$AB106+1,1)*$AB$86+INDEX('Devel Overrides'!K$28:K$68,$AB106,1)*$AC$87)*'Devel Overrides'!$F$19</f>
        <v>0</v>
      </c>
      <c r="AK106" s="387">
        <f>IF(OR($AB106=0,$AB106&gt;40),0,INDEX('Devel Overrides'!L$28:L$68,$AB106+1,1)*$AB$86+INDEX('Devel Overrides'!L$28:L$68,$AB106,1)*$AC$87)*'Devel Overrides'!$F$19</f>
        <v>0</v>
      </c>
      <c r="AL106" s="64"/>
      <c r="AM106" s="109">
        <f>B106*'Selected Economics'!$J25*'Sensitivity Ranges'!$F$43</f>
        <v>0</v>
      </c>
      <c r="AN106" s="109">
        <f>IF($AB$85=1,AC106,Q106)*'Selected Economics'!$J25*'Sensitivity Ranges'!$F$43</f>
        <v>0</v>
      </c>
      <c r="AO106" s="109">
        <f>IF($AB$85=1,AD106,R106)*'Selected Economics'!$J25*'Sensitivity Ranges'!$F$43</f>
        <v>0</v>
      </c>
      <c r="AP106" s="109">
        <f>IF($AB$85=1,AE106,S106)*'Selected Economics'!$J25*'Sensitivity Ranges'!$F$43</f>
        <v>0</v>
      </c>
      <c r="AQ106" s="109">
        <f>IF($AB$85=1,AF106,T106)*'Selected Economics'!$J25*'Sensitivity Ranges'!$F$43</f>
        <v>0</v>
      </c>
      <c r="AR106" s="109">
        <f>IF($AB$85=1,AG106,U106)*'Selected Economics'!$J25*'Sensitivity Ranges'!$F$43</f>
        <v>0</v>
      </c>
      <c r="AS106" s="109">
        <f>IF($AB$85=1,AH106,V106)*'Selected Economics'!$J25*'Sensitivity Ranges'!$F$43</f>
        <v>0</v>
      </c>
      <c r="AT106" s="109">
        <f>IF($AB$85=1,AI106,W106)*'Selected Economics'!$J25*'Sensitivity Ranges'!$F$43</f>
        <v>0</v>
      </c>
      <c r="AU106" s="109">
        <f>IF($AB$85=1,AJ106,X106)*'Selected Economics'!$J25*'Sensitivity Ranges'!$F$43</f>
        <v>0</v>
      </c>
      <c r="AV106" s="109">
        <f>IF($AB$85=1,AK106,Y106)*'Selected Economics'!$J25*'Sensitivity Ranges'!$F$43</f>
        <v>0</v>
      </c>
      <c r="AW106" s="109">
        <f t="shared" si="51"/>
        <v>0</v>
      </c>
      <c r="AX106" s="121"/>
      <c r="AY106" s="109">
        <f t="shared" si="57"/>
        <v>0</v>
      </c>
      <c r="AZ106" s="109">
        <f>AN106*Abandonment!$H30</f>
        <v>0</v>
      </c>
      <c r="BA106" s="109">
        <f>AO106*Abandonment!$H30</f>
        <v>0</v>
      </c>
      <c r="BB106" s="109">
        <f>AP106*Abandonment!$H30</f>
        <v>0</v>
      </c>
      <c r="BC106" s="109">
        <f>AQ106*Abandonment!$H30</f>
        <v>0</v>
      </c>
      <c r="BD106" s="109">
        <f>AR106*Abandonment!$H30</f>
        <v>0</v>
      </c>
      <c r="BE106" s="109">
        <f>AS106*Abandonment!$H30</f>
        <v>0</v>
      </c>
      <c r="BF106" s="109">
        <f>AT106*Abandonment!$H30</f>
        <v>0</v>
      </c>
      <c r="BG106" s="109">
        <f>AU106*Abandonment!$H30</f>
        <v>0</v>
      </c>
      <c r="BH106" s="109">
        <f>AV106*Abandonment!$H30</f>
        <v>0</v>
      </c>
      <c r="BI106" s="109">
        <f t="shared" si="52"/>
        <v>0</v>
      </c>
      <c r="BJ106" s="121"/>
      <c r="BK106" s="109">
        <f>AZ106+Exploration!R51</f>
        <v>0</v>
      </c>
      <c r="BL106" s="109">
        <f>AY106+(BA106+BB106+BC106+IF(Input!$B$17="Shore",0,Development!BD106)+BE106)*(1+'Cost Assumptions'!$O$101)+BF106</f>
        <v>0</v>
      </c>
      <c r="BM106" s="109">
        <f>IF(Input!$B$17="Shore",Development!BD106,0)*(1+'Cost Assumptions'!$O$101)+BG106</f>
        <v>0</v>
      </c>
      <c r="BN106" s="105"/>
      <c r="BO106" s="105"/>
      <c r="BP106" s="109">
        <f t="shared" si="37"/>
        <v>0</v>
      </c>
      <c r="BQ106" s="145"/>
      <c r="BR106" s="105"/>
      <c r="BS106" s="109">
        <f t="shared" ca="1" si="38"/>
        <v>0</v>
      </c>
      <c r="BT106" s="109">
        <f t="shared" ca="1" si="39"/>
        <v>0</v>
      </c>
      <c r="BU106" s="109">
        <f t="shared" ca="1" si="40"/>
        <v>0</v>
      </c>
      <c r="BV106" s="109">
        <f t="shared" ca="1" si="41"/>
        <v>0</v>
      </c>
      <c r="BW106" s="109">
        <f t="shared" ca="1" si="42"/>
        <v>0</v>
      </c>
      <c r="BX106" s="109">
        <f t="shared" ca="1" si="43"/>
        <v>0</v>
      </c>
      <c r="BY106" s="109">
        <f t="shared" ca="1" si="44"/>
        <v>0</v>
      </c>
      <c r="BZ106" s="109">
        <f t="shared" ca="1" si="45"/>
        <v>0</v>
      </c>
      <c r="CA106" s="109">
        <f t="shared" ca="1" si="46"/>
        <v>0</v>
      </c>
      <c r="CB106" s="109">
        <f t="shared" ca="1" si="47"/>
        <v>0</v>
      </c>
      <c r="CC106" s="109">
        <f t="shared" ca="1" si="53"/>
        <v>0</v>
      </c>
      <c r="CD106" s="109"/>
      <c r="CE106" s="109">
        <f t="shared" si="54"/>
        <v>0</v>
      </c>
    </row>
    <row r="107" spans="1:83">
      <c r="A107" s="90">
        <f t="shared" si="55"/>
        <v>2038</v>
      </c>
      <c r="B107" s="109">
        <f t="shared" si="32"/>
        <v>0</v>
      </c>
      <c r="C107" s="109">
        <f t="shared" si="58"/>
        <v>0</v>
      </c>
      <c r="D107" s="109">
        <f t="shared" si="58"/>
        <v>0</v>
      </c>
      <c r="E107" s="109">
        <f t="shared" si="58"/>
        <v>0</v>
      </c>
      <c r="F107" s="109">
        <f t="shared" si="58"/>
        <v>0</v>
      </c>
      <c r="G107" s="109">
        <f t="shared" si="58"/>
        <v>0</v>
      </c>
      <c r="H107" s="109">
        <f t="shared" si="58"/>
        <v>0</v>
      </c>
      <c r="I107" s="109">
        <f t="shared" si="58"/>
        <v>0</v>
      </c>
      <c r="J107" s="109">
        <f t="shared" si="58"/>
        <v>0</v>
      </c>
      <c r="K107" s="109">
        <f t="shared" si="58"/>
        <v>0</v>
      </c>
      <c r="L107" s="109">
        <f t="shared" si="58"/>
        <v>0</v>
      </c>
      <c r="M107" s="109">
        <f t="shared" si="58"/>
        <v>0</v>
      </c>
      <c r="N107" s="109">
        <f t="shared" si="58"/>
        <v>0</v>
      </c>
      <c r="O107" s="109">
        <f t="shared" si="58"/>
        <v>0</v>
      </c>
      <c r="P107" s="109">
        <f t="shared" si="58"/>
        <v>0</v>
      </c>
      <c r="Q107" s="109">
        <f t="shared" si="48"/>
        <v>0</v>
      </c>
      <c r="R107" s="109">
        <f t="shared" si="34"/>
        <v>0</v>
      </c>
      <c r="S107" s="109">
        <f t="shared" si="34"/>
        <v>0</v>
      </c>
      <c r="T107" s="109">
        <f t="shared" si="34"/>
        <v>0</v>
      </c>
      <c r="U107" s="109">
        <f t="shared" si="34"/>
        <v>0</v>
      </c>
      <c r="V107" s="109">
        <f>'Cost Assumptions'!$O$100*SUM(Development!R107:U107)</f>
        <v>0</v>
      </c>
      <c r="W107" s="109">
        <f t="shared" si="56"/>
        <v>0</v>
      </c>
      <c r="X107" s="109">
        <f t="shared" si="49"/>
        <v>0</v>
      </c>
      <c r="Y107" s="109">
        <f>'Cost Assumptions'!$O$101*SUM(Development!R107:V107)</f>
        <v>0</v>
      </c>
      <c r="Z107" s="109">
        <f t="shared" si="35"/>
        <v>0</v>
      </c>
      <c r="AA107" s="121"/>
      <c r="AB107" s="148">
        <f t="shared" si="36"/>
        <v>10</v>
      </c>
      <c r="AC107" s="387">
        <f>IF(OR($AB107=0,$AB107&gt;40),0,INDEX('Devel Overrides'!D$28:D$68,$AB107+1,1)*$AB$86+INDEX('Devel Overrides'!D$28:D$68,$AB107,1)*$AC$87)*'Devel Overrides'!$F$19</f>
        <v>0</v>
      </c>
      <c r="AD107" s="387">
        <f>IF(OR($AB107=0,$AB107&gt;40),0,INDEX('Devel Overrides'!E$28:E$68,$AB107+1,1)*$AB$86+INDEX('Devel Overrides'!E$28:E$68,$AB107,1)*$AC$87)*'Devel Overrides'!$F$19</f>
        <v>0</v>
      </c>
      <c r="AE107" s="387">
        <f>IF(OR($AB107=0,$AB107&gt;40),0,INDEX('Devel Overrides'!F$28:F$68,$AB107+1,1)*$AB$86+INDEX('Devel Overrides'!F$28:F$68,$AB107,1)*$AC$87)*'Devel Overrides'!$F$19</f>
        <v>0</v>
      </c>
      <c r="AF107" s="387">
        <f>IF(OR($AB107=0,$AB107&gt;40),0,INDEX('Devel Overrides'!G$28:G$68,$AB107+1,1)*$AB$86+INDEX('Devel Overrides'!G$28:G$68,$AB107,1)*$AC$87)*'Devel Overrides'!$F$19</f>
        <v>0</v>
      </c>
      <c r="AG107" s="387">
        <f>IF(OR($AB107=0,$AB107&gt;40),0,INDEX('Devel Overrides'!H$28:H$68,$AB107+1,1)*$AB$86+INDEX('Devel Overrides'!H$28:H$68,$AB107,1)*$AC$87)*'Devel Overrides'!$F$19</f>
        <v>0</v>
      </c>
      <c r="AH107" s="387">
        <f>IF(OR($AB107=0,$AB107&gt;40),0,INDEX('Devel Overrides'!I$28:I$68,$AB107+1,1)*$AB$86+INDEX('Devel Overrides'!I$28:I$68,$AB107,1)*$AC$87)*'Devel Overrides'!$F$19</f>
        <v>0</v>
      </c>
      <c r="AI107" s="387">
        <f>IF(OR($AB107=0,$AB107&gt;40),0,INDEX('Devel Overrides'!J$28:J$68,$AB107+1,1)*$AB$86+INDEX('Devel Overrides'!J$28:J$68,$AB107,1)*$AC$87)*'Devel Overrides'!$F$19</f>
        <v>0</v>
      </c>
      <c r="AJ107" s="387">
        <f>IF(OR($AB107=0,$AB107&gt;40),0,INDEX('Devel Overrides'!K$28:K$68,$AB107+1,1)*$AB$86+INDEX('Devel Overrides'!K$28:K$68,$AB107,1)*$AC$87)*'Devel Overrides'!$F$19</f>
        <v>0</v>
      </c>
      <c r="AK107" s="387">
        <f>IF(OR($AB107=0,$AB107&gt;40),0,INDEX('Devel Overrides'!L$28:L$68,$AB107+1,1)*$AB$86+INDEX('Devel Overrides'!L$28:L$68,$AB107,1)*$AC$87)*'Devel Overrides'!$F$19</f>
        <v>0</v>
      </c>
      <c r="AL107" s="64"/>
      <c r="AM107" s="109">
        <f>B107*'Selected Economics'!$J26*'Sensitivity Ranges'!$F$43</f>
        <v>0</v>
      </c>
      <c r="AN107" s="109">
        <f>IF($AB$85=1,AC107,Q107)*'Selected Economics'!$J26*'Sensitivity Ranges'!$F$43</f>
        <v>0</v>
      </c>
      <c r="AO107" s="109">
        <f>IF($AB$85=1,AD107,R107)*'Selected Economics'!$J26*'Sensitivity Ranges'!$F$43</f>
        <v>0</v>
      </c>
      <c r="AP107" s="109">
        <f>IF($AB$85=1,AE107,S107)*'Selected Economics'!$J26*'Sensitivity Ranges'!$F$43</f>
        <v>0</v>
      </c>
      <c r="AQ107" s="109">
        <f>IF($AB$85=1,AF107,T107)*'Selected Economics'!$J26*'Sensitivity Ranges'!$F$43</f>
        <v>0</v>
      </c>
      <c r="AR107" s="109">
        <f>IF($AB$85=1,AG107,U107)*'Selected Economics'!$J26*'Sensitivity Ranges'!$F$43</f>
        <v>0</v>
      </c>
      <c r="AS107" s="109">
        <f>IF($AB$85=1,AH107,V107)*'Selected Economics'!$J26*'Sensitivity Ranges'!$F$43</f>
        <v>0</v>
      </c>
      <c r="AT107" s="109">
        <f>IF($AB$85=1,AI107,W107)*'Selected Economics'!$J26*'Sensitivity Ranges'!$F$43</f>
        <v>0</v>
      </c>
      <c r="AU107" s="109">
        <f>IF($AB$85=1,AJ107,X107)*'Selected Economics'!$J26*'Sensitivity Ranges'!$F$43</f>
        <v>0</v>
      </c>
      <c r="AV107" s="109">
        <f>IF($AB$85=1,AK107,Y107)*'Selected Economics'!$J26*'Sensitivity Ranges'!$F$43</f>
        <v>0</v>
      </c>
      <c r="AW107" s="109">
        <f t="shared" si="51"/>
        <v>0</v>
      </c>
      <c r="AX107" s="121"/>
      <c r="AY107" s="109">
        <f t="shared" si="57"/>
        <v>0</v>
      </c>
      <c r="AZ107" s="109">
        <f>AN107*Abandonment!$H31</f>
        <v>0</v>
      </c>
      <c r="BA107" s="109">
        <f>AO107*Abandonment!$H31</f>
        <v>0</v>
      </c>
      <c r="BB107" s="109">
        <f>AP107*Abandonment!$H31</f>
        <v>0</v>
      </c>
      <c r="BC107" s="109">
        <f>AQ107*Abandonment!$H31</f>
        <v>0</v>
      </c>
      <c r="BD107" s="109">
        <f>AR107*Abandonment!$H31</f>
        <v>0</v>
      </c>
      <c r="BE107" s="109">
        <f>AS107*Abandonment!$H31</f>
        <v>0</v>
      </c>
      <c r="BF107" s="109">
        <f>AT107*Abandonment!$H31</f>
        <v>0</v>
      </c>
      <c r="BG107" s="109">
        <f>AU107*Abandonment!$H31</f>
        <v>0</v>
      </c>
      <c r="BH107" s="109">
        <f>AV107*Abandonment!$H31</f>
        <v>0</v>
      </c>
      <c r="BI107" s="109">
        <f t="shared" si="52"/>
        <v>0</v>
      </c>
      <c r="BJ107" s="121"/>
      <c r="BK107" s="109">
        <f>AZ107+Exploration!R52</f>
        <v>0</v>
      </c>
      <c r="BL107" s="109">
        <f>AY107+(BA107+BB107+BC107+IF(Input!$B$17="Shore",0,Development!BD107)+BE107)*(1+'Cost Assumptions'!$O$101)+BF107</f>
        <v>0</v>
      </c>
      <c r="BM107" s="109">
        <f>IF(Input!$B$17="Shore",Development!BD107,0)*(1+'Cost Assumptions'!$O$101)+BG107</f>
        <v>0</v>
      </c>
      <c r="BN107" s="105"/>
      <c r="BO107" s="105"/>
      <c r="BP107" s="109">
        <f t="shared" si="37"/>
        <v>0</v>
      </c>
      <c r="BQ107" s="145"/>
      <c r="BR107" s="105"/>
      <c r="BS107" s="109">
        <f t="shared" ca="1" si="38"/>
        <v>0</v>
      </c>
      <c r="BT107" s="109">
        <f t="shared" ca="1" si="39"/>
        <v>0</v>
      </c>
      <c r="BU107" s="109">
        <f t="shared" ca="1" si="40"/>
        <v>0</v>
      </c>
      <c r="BV107" s="109">
        <f t="shared" ca="1" si="41"/>
        <v>0</v>
      </c>
      <c r="BW107" s="109">
        <f t="shared" ca="1" si="42"/>
        <v>0</v>
      </c>
      <c r="BX107" s="109">
        <f t="shared" ca="1" si="43"/>
        <v>0</v>
      </c>
      <c r="BY107" s="109">
        <f t="shared" ca="1" si="44"/>
        <v>0</v>
      </c>
      <c r="BZ107" s="109">
        <f t="shared" ca="1" si="45"/>
        <v>0</v>
      </c>
      <c r="CA107" s="109">
        <f t="shared" ca="1" si="46"/>
        <v>0</v>
      </c>
      <c r="CB107" s="109">
        <f t="shared" ca="1" si="47"/>
        <v>0</v>
      </c>
      <c r="CC107" s="109">
        <f t="shared" ca="1" si="53"/>
        <v>0</v>
      </c>
      <c r="CD107" s="109"/>
      <c r="CE107" s="109">
        <f t="shared" si="54"/>
        <v>0</v>
      </c>
    </row>
    <row r="108" spans="1:83">
      <c r="A108" s="90">
        <f t="shared" si="55"/>
        <v>2039</v>
      </c>
      <c r="B108" s="109">
        <f t="shared" si="32"/>
        <v>0</v>
      </c>
      <c r="C108" s="109">
        <f t="shared" si="58"/>
        <v>0</v>
      </c>
      <c r="D108" s="109">
        <f t="shared" si="58"/>
        <v>0</v>
      </c>
      <c r="E108" s="109">
        <f t="shared" si="58"/>
        <v>0</v>
      </c>
      <c r="F108" s="109">
        <f t="shared" si="58"/>
        <v>0</v>
      </c>
      <c r="G108" s="109">
        <f t="shared" si="58"/>
        <v>0</v>
      </c>
      <c r="H108" s="109">
        <f t="shared" si="58"/>
        <v>0</v>
      </c>
      <c r="I108" s="109">
        <f t="shared" si="58"/>
        <v>0</v>
      </c>
      <c r="J108" s="109">
        <f t="shared" si="58"/>
        <v>0</v>
      </c>
      <c r="K108" s="109">
        <f t="shared" si="58"/>
        <v>0</v>
      </c>
      <c r="L108" s="109">
        <f t="shared" si="58"/>
        <v>0</v>
      </c>
      <c r="M108" s="109">
        <f t="shared" si="58"/>
        <v>0</v>
      </c>
      <c r="N108" s="109">
        <f t="shared" si="58"/>
        <v>0</v>
      </c>
      <c r="O108" s="109">
        <f t="shared" si="58"/>
        <v>0</v>
      </c>
      <c r="P108" s="109">
        <f t="shared" si="58"/>
        <v>0</v>
      </c>
      <c r="Q108" s="109">
        <f t="shared" si="48"/>
        <v>0</v>
      </c>
      <c r="R108" s="109">
        <f t="shared" si="34"/>
        <v>0</v>
      </c>
      <c r="S108" s="109">
        <f t="shared" si="34"/>
        <v>0</v>
      </c>
      <c r="T108" s="109">
        <f t="shared" si="34"/>
        <v>0</v>
      </c>
      <c r="U108" s="109">
        <f t="shared" si="34"/>
        <v>0</v>
      </c>
      <c r="V108" s="109">
        <f>'Cost Assumptions'!$O$100*SUM(Development!R108:U108)</f>
        <v>0</v>
      </c>
      <c r="W108" s="109">
        <f t="shared" si="56"/>
        <v>0</v>
      </c>
      <c r="X108" s="109">
        <f t="shared" si="49"/>
        <v>0</v>
      </c>
      <c r="Y108" s="109">
        <f>'Cost Assumptions'!$O$101*SUM(Development!R108:V108)</f>
        <v>0</v>
      </c>
      <c r="Z108" s="109">
        <f t="shared" si="35"/>
        <v>0</v>
      </c>
      <c r="AA108" s="121"/>
      <c r="AB108" s="148">
        <f t="shared" si="36"/>
        <v>11</v>
      </c>
      <c r="AC108" s="387">
        <f>IF(OR($AB108=0,$AB108&gt;40),0,INDEX('Devel Overrides'!D$28:D$68,$AB108+1,1)*$AB$86+INDEX('Devel Overrides'!D$28:D$68,$AB108,1)*$AC$87)*'Devel Overrides'!$F$19</f>
        <v>0</v>
      </c>
      <c r="AD108" s="387">
        <f>IF(OR($AB108=0,$AB108&gt;40),0,INDEX('Devel Overrides'!E$28:E$68,$AB108+1,1)*$AB$86+INDEX('Devel Overrides'!E$28:E$68,$AB108,1)*$AC$87)*'Devel Overrides'!$F$19</f>
        <v>0</v>
      </c>
      <c r="AE108" s="387">
        <f>IF(OR($AB108=0,$AB108&gt;40),0,INDEX('Devel Overrides'!F$28:F$68,$AB108+1,1)*$AB$86+INDEX('Devel Overrides'!F$28:F$68,$AB108,1)*$AC$87)*'Devel Overrides'!$F$19</f>
        <v>0</v>
      </c>
      <c r="AF108" s="387">
        <f>IF(OR($AB108=0,$AB108&gt;40),0,INDEX('Devel Overrides'!G$28:G$68,$AB108+1,1)*$AB$86+INDEX('Devel Overrides'!G$28:G$68,$AB108,1)*$AC$87)*'Devel Overrides'!$F$19</f>
        <v>0</v>
      </c>
      <c r="AG108" s="387">
        <f>IF(OR($AB108=0,$AB108&gt;40),0,INDEX('Devel Overrides'!H$28:H$68,$AB108+1,1)*$AB$86+INDEX('Devel Overrides'!H$28:H$68,$AB108,1)*$AC$87)*'Devel Overrides'!$F$19</f>
        <v>0</v>
      </c>
      <c r="AH108" s="387">
        <f>IF(OR($AB108=0,$AB108&gt;40),0,INDEX('Devel Overrides'!I$28:I$68,$AB108+1,1)*$AB$86+INDEX('Devel Overrides'!I$28:I$68,$AB108,1)*$AC$87)*'Devel Overrides'!$F$19</f>
        <v>0</v>
      </c>
      <c r="AI108" s="387">
        <f>IF(OR($AB108=0,$AB108&gt;40),0,INDEX('Devel Overrides'!J$28:J$68,$AB108+1,1)*$AB$86+INDEX('Devel Overrides'!J$28:J$68,$AB108,1)*$AC$87)*'Devel Overrides'!$F$19</f>
        <v>0</v>
      </c>
      <c r="AJ108" s="387">
        <f>IF(OR($AB108=0,$AB108&gt;40),0,INDEX('Devel Overrides'!K$28:K$68,$AB108+1,1)*$AB$86+INDEX('Devel Overrides'!K$28:K$68,$AB108,1)*$AC$87)*'Devel Overrides'!$F$19</f>
        <v>0</v>
      </c>
      <c r="AK108" s="387">
        <f>IF(OR($AB108=0,$AB108&gt;40),0,INDEX('Devel Overrides'!L$28:L$68,$AB108+1,1)*$AB$86+INDEX('Devel Overrides'!L$28:L$68,$AB108,1)*$AC$87)*'Devel Overrides'!$F$19</f>
        <v>0</v>
      </c>
      <c r="AL108" s="64"/>
      <c r="AM108" s="109">
        <f>B108*'Selected Economics'!$J27*'Sensitivity Ranges'!$F$43</f>
        <v>0</v>
      </c>
      <c r="AN108" s="109">
        <f>IF($AB$85=1,AC108,Q108)*'Selected Economics'!$J27*'Sensitivity Ranges'!$F$43</f>
        <v>0</v>
      </c>
      <c r="AO108" s="109">
        <f>IF($AB$85=1,AD108,R108)*'Selected Economics'!$J27*'Sensitivity Ranges'!$F$43</f>
        <v>0</v>
      </c>
      <c r="AP108" s="109">
        <f>IF($AB$85=1,AE108,S108)*'Selected Economics'!$J27*'Sensitivity Ranges'!$F$43</f>
        <v>0</v>
      </c>
      <c r="AQ108" s="109">
        <f>IF($AB$85=1,AF108,T108)*'Selected Economics'!$J27*'Sensitivity Ranges'!$F$43</f>
        <v>0</v>
      </c>
      <c r="AR108" s="109">
        <f>IF($AB$85=1,AG108,U108)*'Selected Economics'!$J27*'Sensitivity Ranges'!$F$43</f>
        <v>0</v>
      </c>
      <c r="AS108" s="109">
        <f>IF($AB$85=1,AH108,V108)*'Selected Economics'!$J27*'Sensitivity Ranges'!$F$43</f>
        <v>0</v>
      </c>
      <c r="AT108" s="109">
        <f>IF($AB$85=1,AI108,W108)*'Selected Economics'!$J27*'Sensitivity Ranges'!$F$43</f>
        <v>0</v>
      </c>
      <c r="AU108" s="109">
        <f>IF($AB$85=1,AJ108,X108)*'Selected Economics'!$J27*'Sensitivity Ranges'!$F$43</f>
        <v>0</v>
      </c>
      <c r="AV108" s="109">
        <f>IF($AB$85=1,AK108,Y108)*'Selected Economics'!$J27*'Sensitivity Ranges'!$F$43</f>
        <v>0</v>
      </c>
      <c r="AW108" s="109">
        <f t="shared" si="51"/>
        <v>0</v>
      </c>
      <c r="AX108" s="121"/>
      <c r="AY108" s="109">
        <f t="shared" si="57"/>
        <v>0</v>
      </c>
      <c r="AZ108" s="109">
        <f>AN108*Abandonment!$H32</f>
        <v>0</v>
      </c>
      <c r="BA108" s="109">
        <f>AO108*Abandonment!$H32</f>
        <v>0</v>
      </c>
      <c r="BB108" s="109">
        <f>AP108*Abandonment!$H32</f>
        <v>0</v>
      </c>
      <c r="BC108" s="109">
        <f>AQ108*Abandonment!$H32</f>
        <v>0</v>
      </c>
      <c r="BD108" s="109">
        <f>AR108*Abandonment!$H32</f>
        <v>0</v>
      </c>
      <c r="BE108" s="109">
        <f>AS108*Abandonment!$H32</f>
        <v>0</v>
      </c>
      <c r="BF108" s="109">
        <f>AT108*Abandonment!$H32</f>
        <v>0</v>
      </c>
      <c r="BG108" s="109">
        <f>AU108*Abandonment!$H32</f>
        <v>0</v>
      </c>
      <c r="BH108" s="109">
        <f>AV108*Abandonment!$H32</f>
        <v>0</v>
      </c>
      <c r="BI108" s="109">
        <f t="shared" si="52"/>
        <v>0</v>
      </c>
      <c r="BJ108" s="121"/>
      <c r="BK108" s="109">
        <f>AZ108+Exploration!R53</f>
        <v>0</v>
      </c>
      <c r="BL108" s="109">
        <f>AY108+(BA108+BB108+BC108+IF(Input!$B$17="Shore",0,Development!BD108)+BE108)*(1+'Cost Assumptions'!$O$101)+BF108</f>
        <v>0</v>
      </c>
      <c r="BM108" s="109">
        <f>IF(Input!$B$17="Shore",Development!BD108,0)*(1+'Cost Assumptions'!$O$101)+BG108</f>
        <v>0</v>
      </c>
      <c r="BN108" s="105"/>
      <c r="BO108" s="105"/>
      <c r="BP108" s="109">
        <f t="shared" si="37"/>
        <v>0</v>
      </c>
      <c r="BQ108" s="145"/>
      <c r="BR108" s="105"/>
      <c r="BS108" s="109">
        <f t="shared" ca="1" si="38"/>
        <v>0</v>
      </c>
      <c r="BT108" s="109">
        <f t="shared" ca="1" si="39"/>
        <v>0</v>
      </c>
      <c r="BU108" s="109">
        <f t="shared" ca="1" si="40"/>
        <v>0</v>
      </c>
      <c r="BV108" s="109">
        <f t="shared" ca="1" si="41"/>
        <v>0</v>
      </c>
      <c r="BW108" s="109">
        <f t="shared" ca="1" si="42"/>
        <v>0</v>
      </c>
      <c r="BX108" s="109">
        <f t="shared" ca="1" si="43"/>
        <v>0</v>
      </c>
      <c r="BY108" s="109">
        <f t="shared" ca="1" si="44"/>
        <v>0</v>
      </c>
      <c r="BZ108" s="109">
        <f t="shared" ca="1" si="45"/>
        <v>0</v>
      </c>
      <c r="CA108" s="109">
        <f t="shared" ca="1" si="46"/>
        <v>0</v>
      </c>
      <c r="CB108" s="109">
        <f t="shared" ca="1" si="47"/>
        <v>0</v>
      </c>
      <c r="CC108" s="109">
        <f t="shared" ca="1" si="53"/>
        <v>0</v>
      </c>
      <c r="CD108" s="109"/>
      <c r="CE108" s="109">
        <f t="shared" si="54"/>
        <v>0</v>
      </c>
    </row>
    <row r="109" spans="1:83">
      <c r="A109" s="90">
        <f t="shared" si="55"/>
        <v>2040</v>
      </c>
      <c r="B109" s="109">
        <f t="shared" si="32"/>
        <v>0</v>
      </c>
      <c r="C109" s="109">
        <f t="shared" si="58"/>
        <v>0</v>
      </c>
      <c r="D109" s="109">
        <f t="shared" si="58"/>
        <v>0</v>
      </c>
      <c r="E109" s="109">
        <f t="shared" si="58"/>
        <v>0</v>
      </c>
      <c r="F109" s="109">
        <f t="shared" si="58"/>
        <v>0</v>
      </c>
      <c r="G109" s="109">
        <f t="shared" si="58"/>
        <v>0</v>
      </c>
      <c r="H109" s="109">
        <f t="shared" si="58"/>
        <v>0</v>
      </c>
      <c r="I109" s="109">
        <f t="shared" si="58"/>
        <v>0</v>
      </c>
      <c r="J109" s="109">
        <f t="shared" si="58"/>
        <v>0</v>
      </c>
      <c r="K109" s="109">
        <f t="shared" si="58"/>
        <v>0</v>
      </c>
      <c r="L109" s="109">
        <f t="shared" si="58"/>
        <v>0</v>
      </c>
      <c r="M109" s="109">
        <f t="shared" si="58"/>
        <v>0</v>
      </c>
      <c r="N109" s="109">
        <f t="shared" si="58"/>
        <v>0</v>
      </c>
      <c r="O109" s="109">
        <f t="shared" si="58"/>
        <v>0</v>
      </c>
      <c r="P109" s="109">
        <f t="shared" si="58"/>
        <v>0</v>
      </c>
      <c r="Q109" s="109">
        <f t="shared" si="48"/>
        <v>0</v>
      </c>
      <c r="R109" s="109">
        <f t="shared" si="34"/>
        <v>0</v>
      </c>
      <c r="S109" s="109">
        <f t="shared" si="34"/>
        <v>0</v>
      </c>
      <c r="T109" s="109">
        <f t="shared" si="34"/>
        <v>0</v>
      </c>
      <c r="U109" s="109">
        <f t="shared" si="34"/>
        <v>0</v>
      </c>
      <c r="V109" s="109">
        <f>'Cost Assumptions'!$O$100*SUM(Development!R109:U109)</f>
        <v>0</v>
      </c>
      <c r="W109" s="109">
        <f t="shared" si="56"/>
        <v>0</v>
      </c>
      <c r="X109" s="109">
        <f t="shared" si="49"/>
        <v>0</v>
      </c>
      <c r="Y109" s="109">
        <f>'Cost Assumptions'!$O$101*SUM(Development!R109:V109)</f>
        <v>0</v>
      </c>
      <c r="Z109" s="109">
        <f t="shared" si="35"/>
        <v>0</v>
      </c>
      <c r="AA109" s="121"/>
      <c r="AB109" s="148">
        <f t="shared" si="36"/>
        <v>12</v>
      </c>
      <c r="AC109" s="387">
        <f>IF(OR($AB109=0,$AB109&gt;40),0,INDEX('Devel Overrides'!D$28:D$68,$AB109+1,1)*$AB$86+INDEX('Devel Overrides'!D$28:D$68,$AB109,1)*$AC$87)*'Devel Overrides'!$F$19</f>
        <v>0</v>
      </c>
      <c r="AD109" s="387">
        <f>IF(OR($AB109=0,$AB109&gt;40),0,INDEX('Devel Overrides'!E$28:E$68,$AB109+1,1)*$AB$86+INDEX('Devel Overrides'!E$28:E$68,$AB109,1)*$AC$87)*'Devel Overrides'!$F$19</f>
        <v>0</v>
      </c>
      <c r="AE109" s="387">
        <f>IF(OR($AB109=0,$AB109&gt;40),0,INDEX('Devel Overrides'!F$28:F$68,$AB109+1,1)*$AB$86+INDEX('Devel Overrides'!F$28:F$68,$AB109,1)*$AC$87)*'Devel Overrides'!$F$19</f>
        <v>0</v>
      </c>
      <c r="AF109" s="387">
        <f>IF(OR($AB109=0,$AB109&gt;40),0,INDEX('Devel Overrides'!G$28:G$68,$AB109+1,1)*$AB$86+INDEX('Devel Overrides'!G$28:G$68,$AB109,1)*$AC$87)*'Devel Overrides'!$F$19</f>
        <v>0</v>
      </c>
      <c r="AG109" s="387">
        <f>IF(OR($AB109=0,$AB109&gt;40),0,INDEX('Devel Overrides'!H$28:H$68,$AB109+1,1)*$AB$86+INDEX('Devel Overrides'!H$28:H$68,$AB109,1)*$AC$87)*'Devel Overrides'!$F$19</f>
        <v>0</v>
      </c>
      <c r="AH109" s="387">
        <f>IF(OR($AB109=0,$AB109&gt;40),0,INDEX('Devel Overrides'!I$28:I$68,$AB109+1,1)*$AB$86+INDEX('Devel Overrides'!I$28:I$68,$AB109,1)*$AC$87)*'Devel Overrides'!$F$19</f>
        <v>0</v>
      </c>
      <c r="AI109" s="387">
        <f>IF(OR($AB109=0,$AB109&gt;40),0,INDEX('Devel Overrides'!J$28:J$68,$AB109+1,1)*$AB$86+INDEX('Devel Overrides'!J$28:J$68,$AB109,1)*$AC$87)*'Devel Overrides'!$F$19</f>
        <v>0</v>
      </c>
      <c r="AJ109" s="387">
        <f>IF(OR($AB109=0,$AB109&gt;40),0,INDEX('Devel Overrides'!K$28:K$68,$AB109+1,1)*$AB$86+INDEX('Devel Overrides'!K$28:K$68,$AB109,1)*$AC$87)*'Devel Overrides'!$F$19</f>
        <v>0</v>
      </c>
      <c r="AK109" s="387">
        <f>IF(OR($AB109=0,$AB109&gt;40),0,INDEX('Devel Overrides'!L$28:L$68,$AB109+1,1)*$AB$86+INDEX('Devel Overrides'!L$28:L$68,$AB109,1)*$AC$87)*'Devel Overrides'!$F$19</f>
        <v>0</v>
      </c>
      <c r="AL109" s="64"/>
      <c r="AM109" s="109">
        <f>B109*'Selected Economics'!$J28*'Sensitivity Ranges'!$F$43</f>
        <v>0</v>
      </c>
      <c r="AN109" s="109">
        <f>IF($AB$85=1,AC109,Q109)*'Selected Economics'!$J28*'Sensitivity Ranges'!$F$43</f>
        <v>0</v>
      </c>
      <c r="AO109" s="109">
        <f>IF($AB$85=1,AD109,R109)*'Selected Economics'!$J28*'Sensitivity Ranges'!$F$43</f>
        <v>0</v>
      </c>
      <c r="AP109" s="109">
        <f>IF($AB$85=1,AE109,S109)*'Selected Economics'!$J28*'Sensitivity Ranges'!$F$43</f>
        <v>0</v>
      </c>
      <c r="AQ109" s="109">
        <f>IF($AB$85=1,AF109,T109)*'Selected Economics'!$J28*'Sensitivity Ranges'!$F$43</f>
        <v>0</v>
      </c>
      <c r="AR109" s="109">
        <f>IF($AB$85=1,AG109,U109)*'Selected Economics'!$J28*'Sensitivity Ranges'!$F$43</f>
        <v>0</v>
      </c>
      <c r="AS109" s="109">
        <f>IF($AB$85=1,AH109,V109)*'Selected Economics'!$J28*'Sensitivity Ranges'!$F$43</f>
        <v>0</v>
      </c>
      <c r="AT109" s="109">
        <f>IF($AB$85=1,AI109,W109)*'Selected Economics'!$J28*'Sensitivity Ranges'!$F$43</f>
        <v>0</v>
      </c>
      <c r="AU109" s="109">
        <f>IF($AB$85=1,AJ109,X109)*'Selected Economics'!$J28*'Sensitivity Ranges'!$F$43</f>
        <v>0</v>
      </c>
      <c r="AV109" s="109">
        <f>IF($AB$85=1,AK109,Y109)*'Selected Economics'!$J28*'Sensitivity Ranges'!$F$43</f>
        <v>0</v>
      </c>
      <c r="AW109" s="109">
        <f t="shared" si="51"/>
        <v>0</v>
      </c>
      <c r="AX109" s="121"/>
      <c r="AY109" s="109">
        <f t="shared" si="57"/>
        <v>0</v>
      </c>
      <c r="AZ109" s="109">
        <f>AN109*Abandonment!$H33</f>
        <v>0</v>
      </c>
      <c r="BA109" s="109">
        <f>AO109*Abandonment!$H33</f>
        <v>0</v>
      </c>
      <c r="BB109" s="109">
        <f>AP109*Abandonment!$H33</f>
        <v>0</v>
      </c>
      <c r="BC109" s="109">
        <f>AQ109*Abandonment!$H33</f>
        <v>0</v>
      </c>
      <c r="BD109" s="109">
        <f>AR109*Abandonment!$H33</f>
        <v>0</v>
      </c>
      <c r="BE109" s="109">
        <f>AS109*Abandonment!$H33</f>
        <v>0</v>
      </c>
      <c r="BF109" s="109">
        <f>AT109*Abandonment!$H33</f>
        <v>0</v>
      </c>
      <c r="BG109" s="109">
        <f>AU109*Abandonment!$H33</f>
        <v>0</v>
      </c>
      <c r="BH109" s="109">
        <f>AV109*Abandonment!$H33</f>
        <v>0</v>
      </c>
      <c r="BI109" s="109">
        <f t="shared" si="52"/>
        <v>0</v>
      </c>
      <c r="BJ109" s="121"/>
      <c r="BK109" s="109">
        <f>AZ109+Exploration!R54</f>
        <v>0</v>
      </c>
      <c r="BL109" s="109">
        <f>AY109+(BA109+BB109+BC109+IF(Input!$B$17="Shore",0,Development!BD109)+BE109)*(1+'Cost Assumptions'!$O$101)+BF109</f>
        <v>0</v>
      </c>
      <c r="BM109" s="109">
        <f>IF(Input!$B$17="Shore",Development!BD109,0)*(1+'Cost Assumptions'!$O$101)+BG109</f>
        <v>0</v>
      </c>
      <c r="BN109" s="105"/>
      <c r="BO109" s="105"/>
      <c r="BP109" s="109">
        <f t="shared" si="37"/>
        <v>0</v>
      </c>
      <c r="BQ109" s="145"/>
      <c r="BR109" s="105"/>
      <c r="BS109" s="109">
        <f t="shared" ca="1" si="38"/>
        <v>0</v>
      </c>
      <c r="BT109" s="109">
        <f t="shared" ca="1" si="39"/>
        <v>0</v>
      </c>
      <c r="BU109" s="109">
        <f t="shared" ca="1" si="40"/>
        <v>0</v>
      </c>
      <c r="BV109" s="109">
        <f t="shared" ca="1" si="41"/>
        <v>0</v>
      </c>
      <c r="BW109" s="109">
        <f t="shared" ca="1" si="42"/>
        <v>0</v>
      </c>
      <c r="BX109" s="109">
        <f t="shared" ca="1" si="43"/>
        <v>0</v>
      </c>
      <c r="BY109" s="109">
        <f t="shared" ca="1" si="44"/>
        <v>0</v>
      </c>
      <c r="BZ109" s="109">
        <f t="shared" ca="1" si="45"/>
        <v>0</v>
      </c>
      <c r="CA109" s="109">
        <f t="shared" ca="1" si="46"/>
        <v>0</v>
      </c>
      <c r="CB109" s="109">
        <f t="shared" ca="1" si="47"/>
        <v>0</v>
      </c>
      <c r="CC109" s="109">
        <f t="shared" ca="1" si="53"/>
        <v>0</v>
      </c>
      <c r="CD109" s="109"/>
      <c r="CE109" s="109">
        <f t="shared" si="54"/>
        <v>0</v>
      </c>
    </row>
    <row r="110" spans="1:83">
      <c r="A110" s="90">
        <f t="shared" si="55"/>
        <v>2041</v>
      </c>
      <c r="B110" s="109">
        <f t="shared" si="32"/>
        <v>0</v>
      </c>
      <c r="C110" s="109">
        <f t="shared" si="58"/>
        <v>0</v>
      </c>
      <c r="D110" s="109">
        <f t="shared" si="58"/>
        <v>0</v>
      </c>
      <c r="E110" s="109">
        <f t="shared" si="58"/>
        <v>0</v>
      </c>
      <c r="F110" s="109">
        <f t="shared" si="58"/>
        <v>0</v>
      </c>
      <c r="G110" s="109">
        <f t="shared" si="58"/>
        <v>0</v>
      </c>
      <c r="H110" s="109">
        <f t="shared" si="58"/>
        <v>0</v>
      </c>
      <c r="I110" s="109">
        <f t="shared" si="58"/>
        <v>0</v>
      </c>
      <c r="J110" s="109">
        <f t="shared" si="58"/>
        <v>0</v>
      </c>
      <c r="K110" s="109">
        <f t="shared" si="58"/>
        <v>0</v>
      </c>
      <c r="L110" s="109">
        <f t="shared" si="58"/>
        <v>0</v>
      </c>
      <c r="M110" s="109">
        <f t="shared" si="58"/>
        <v>0</v>
      </c>
      <c r="N110" s="109">
        <f t="shared" si="58"/>
        <v>0</v>
      </c>
      <c r="O110" s="109">
        <f t="shared" si="58"/>
        <v>0</v>
      </c>
      <c r="P110" s="109">
        <f t="shared" si="58"/>
        <v>0</v>
      </c>
      <c r="Q110" s="109">
        <f t="shared" si="48"/>
        <v>0</v>
      </c>
      <c r="R110" s="109">
        <f t="shared" si="34"/>
        <v>0</v>
      </c>
      <c r="S110" s="109">
        <f t="shared" si="34"/>
        <v>0</v>
      </c>
      <c r="T110" s="109">
        <f t="shared" si="34"/>
        <v>0</v>
      </c>
      <c r="U110" s="109">
        <f t="shared" si="34"/>
        <v>0</v>
      </c>
      <c r="V110" s="109">
        <f>'Cost Assumptions'!$O$100*SUM(Development!R110:U110)</f>
        <v>0</v>
      </c>
      <c r="W110" s="109">
        <f t="shared" si="56"/>
        <v>0</v>
      </c>
      <c r="X110" s="109">
        <f t="shared" si="49"/>
        <v>0</v>
      </c>
      <c r="Y110" s="109">
        <f>'Cost Assumptions'!$O$101*SUM(Development!R110:V110)</f>
        <v>0</v>
      </c>
      <c r="Z110" s="109">
        <f t="shared" si="35"/>
        <v>0</v>
      </c>
      <c r="AA110" s="121"/>
      <c r="AB110" s="148">
        <f t="shared" si="36"/>
        <v>13</v>
      </c>
      <c r="AC110" s="387">
        <f>IF(OR($AB110=0,$AB110&gt;40),0,INDEX('Devel Overrides'!D$28:D$68,$AB110+1,1)*$AB$86+INDEX('Devel Overrides'!D$28:D$68,$AB110,1)*$AC$87)*'Devel Overrides'!$F$19</f>
        <v>0</v>
      </c>
      <c r="AD110" s="387">
        <f>IF(OR($AB110=0,$AB110&gt;40),0,INDEX('Devel Overrides'!E$28:E$68,$AB110+1,1)*$AB$86+INDEX('Devel Overrides'!E$28:E$68,$AB110,1)*$AC$87)*'Devel Overrides'!$F$19</f>
        <v>0</v>
      </c>
      <c r="AE110" s="387">
        <f>IF(OR($AB110=0,$AB110&gt;40),0,INDEX('Devel Overrides'!F$28:F$68,$AB110+1,1)*$AB$86+INDEX('Devel Overrides'!F$28:F$68,$AB110,1)*$AC$87)*'Devel Overrides'!$F$19</f>
        <v>0</v>
      </c>
      <c r="AF110" s="387">
        <f>IF(OR($AB110=0,$AB110&gt;40),0,INDEX('Devel Overrides'!G$28:G$68,$AB110+1,1)*$AB$86+INDEX('Devel Overrides'!G$28:G$68,$AB110,1)*$AC$87)*'Devel Overrides'!$F$19</f>
        <v>0</v>
      </c>
      <c r="AG110" s="387">
        <f>IF(OR($AB110=0,$AB110&gt;40),0,INDEX('Devel Overrides'!H$28:H$68,$AB110+1,1)*$AB$86+INDEX('Devel Overrides'!H$28:H$68,$AB110,1)*$AC$87)*'Devel Overrides'!$F$19</f>
        <v>0</v>
      </c>
      <c r="AH110" s="387">
        <f>IF(OR($AB110=0,$AB110&gt;40),0,INDEX('Devel Overrides'!I$28:I$68,$AB110+1,1)*$AB$86+INDEX('Devel Overrides'!I$28:I$68,$AB110,1)*$AC$87)*'Devel Overrides'!$F$19</f>
        <v>0</v>
      </c>
      <c r="AI110" s="387">
        <f>IF(OR($AB110=0,$AB110&gt;40),0,INDEX('Devel Overrides'!J$28:J$68,$AB110+1,1)*$AB$86+INDEX('Devel Overrides'!J$28:J$68,$AB110,1)*$AC$87)*'Devel Overrides'!$F$19</f>
        <v>0</v>
      </c>
      <c r="AJ110" s="387">
        <f>IF(OR($AB110=0,$AB110&gt;40),0,INDEX('Devel Overrides'!K$28:K$68,$AB110+1,1)*$AB$86+INDEX('Devel Overrides'!K$28:K$68,$AB110,1)*$AC$87)*'Devel Overrides'!$F$19</f>
        <v>0</v>
      </c>
      <c r="AK110" s="387">
        <f>IF(OR($AB110=0,$AB110&gt;40),0,INDEX('Devel Overrides'!L$28:L$68,$AB110+1,1)*$AB$86+INDEX('Devel Overrides'!L$28:L$68,$AB110,1)*$AC$87)*'Devel Overrides'!$F$19</f>
        <v>0</v>
      </c>
      <c r="AL110" s="64"/>
      <c r="AM110" s="109">
        <f>B110*'Selected Economics'!$J29*'Sensitivity Ranges'!$F$43</f>
        <v>0</v>
      </c>
      <c r="AN110" s="109">
        <f>IF($AB$85=1,AC110,Q110)*'Selected Economics'!$J29*'Sensitivity Ranges'!$F$43</f>
        <v>0</v>
      </c>
      <c r="AO110" s="109">
        <f>IF($AB$85=1,AD110,R110)*'Selected Economics'!$J29*'Sensitivity Ranges'!$F$43</f>
        <v>0</v>
      </c>
      <c r="AP110" s="109">
        <f>IF($AB$85=1,AE110,S110)*'Selected Economics'!$J29*'Sensitivity Ranges'!$F$43</f>
        <v>0</v>
      </c>
      <c r="AQ110" s="109">
        <f>IF($AB$85=1,AF110,T110)*'Selected Economics'!$J29*'Sensitivity Ranges'!$F$43</f>
        <v>0</v>
      </c>
      <c r="AR110" s="109">
        <f>IF($AB$85=1,AG110,U110)*'Selected Economics'!$J29*'Sensitivity Ranges'!$F$43</f>
        <v>0</v>
      </c>
      <c r="AS110" s="109">
        <f>IF($AB$85=1,AH110,V110)*'Selected Economics'!$J29*'Sensitivity Ranges'!$F$43</f>
        <v>0</v>
      </c>
      <c r="AT110" s="109">
        <f>IF($AB$85=1,AI110,W110)*'Selected Economics'!$J29*'Sensitivity Ranges'!$F$43</f>
        <v>0</v>
      </c>
      <c r="AU110" s="109">
        <f>IF($AB$85=1,AJ110,X110)*'Selected Economics'!$J29*'Sensitivity Ranges'!$F$43</f>
        <v>0</v>
      </c>
      <c r="AV110" s="109">
        <f>IF($AB$85=1,AK110,Y110)*'Selected Economics'!$J29*'Sensitivity Ranges'!$F$43</f>
        <v>0</v>
      </c>
      <c r="AW110" s="109">
        <f t="shared" si="51"/>
        <v>0</v>
      </c>
      <c r="AX110" s="121"/>
      <c r="AY110" s="109">
        <f t="shared" si="57"/>
        <v>0</v>
      </c>
      <c r="AZ110" s="109">
        <f>AN110*Abandonment!$H34</f>
        <v>0</v>
      </c>
      <c r="BA110" s="109">
        <f>AO110*Abandonment!$H34</f>
        <v>0</v>
      </c>
      <c r="BB110" s="109">
        <f>AP110*Abandonment!$H34</f>
        <v>0</v>
      </c>
      <c r="BC110" s="109">
        <f>AQ110*Abandonment!$H34</f>
        <v>0</v>
      </c>
      <c r="BD110" s="109">
        <f>AR110*Abandonment!$H34</f>
        <v>0</v>
      </c>
      <c r="BE110" s="109">
        <f>AS110*Abandonment!$H34</f>
        <v>0</v>
      </c>
      <c r="BF110" s="109">
        <f>AT110*Abandonment!$H34</f>
        <v>0</v>
      </c>
      <c r="BG110" s="109">
        <f>AU110*Abandonment!$H34</f>
        <v>0</v>
      </c>
      <c r="BH110" s="109">
        <f>AV110*Abandonment!$H34</f>
        <v>0</v>
      </c>
      <c r="BI110" s="109">
        <f t="shared" si="52"/>
        <v>0</v>
      </c>
      <c r="BJ110" s="121"/>
      <c r="BK110" s="109">
        <f>AZ110+Exploration!R55</f>
        <v>0</v>
      </c>
      <c r="BL110" s="109">
        <f>AY110+(BA110+BB110+BC110+IF(Input!$B$17="Shore",0,Development!BD110)+BE110)*(1+'Cost Assumptions'!$O$101)+BF110</f>
        <v>0</v>
      </c>
      <c r="BM110" s="109">
        <f>IF(Input!$B$17="Shore",Development!BD110,0)*(1+'Cost Assumptions'!$O$101)+BG110</f>
        <v>0</v>
      </c>
      <c r="BN110" s="105"/>
      <c r="BO110" s="105"/>
      <c r="BP110" s="109">
        <f t="shared" si="37"/>
        <v>0</v>
      </c>
      <c r="BQ110" s="145"/>
      <c r="BR110" s="105"/>
      <c r="BS110" s="109">
        <f t="shared" ca="1" si="38"/>
        <v>0</v>
      </c>
      <c r="BT110" s="109">
        <f t="shared" ca="1" si="39"/>
        <v>0</v>
      </c>
      <c r="BU110" s="109">
        <f t="shared" ca="1" si="40"/>
        <v>0</v>
      </c>
      <c r="BV110" s="109">
        <f t="shared" ca="1" si="41"/>
        <v>0</v>
      </c>
      <c r="BW110" s="109">
        <f t="shared" ca="1" si="42"/>
        <v>0</v>
      </c>
      <c r="BX110" s="109">
        <f t="shared" ca="1" si="43"/>
        <v>0</v>
      </c>
      <c r="BY110" s="109">
        <f t="shared" ca="1" si="44"/>
        <v>0</v>
      </c>
      <c r="BZ110" s="109">
        <f t="shared" ca="1" si="45"/>
        <v>0</v>
      </c>
      <c r="CA110" s="109">
        <f t="shared" ca="1" si="46"/>
        <v>0</v>
      </c>
      <c r="CB110" s="109">
        <f t="shared" ca="1" si="47"/>
        <v>0</v>
      </c>
      <c r="CC110" s="109">
        <f t="shared" ca="1" si="53"/>
        <v>0</v>
      </c>
      <c r="CD110" s="109"/>
      <c r="CE110" s="109">
        <f t="shared" si="54"/>
        <v>0</v>
      </c>
    </row>
    <row r="111" spans="1:83">
      <c r="A111" s="90">
        <f t="shared" si="55"/>
        <v>2042</v>
      </c>
      <c r="B111" s="109">
        <f t="shared" si="32"/>
        <v>0</v>
      </c>
      <c r="C111" s="109">
        <f t="shared" si="58"/>
        <v>0</v>
      </c>
      <c r="D111" s="109">
        <f t="shared" si="58"/>
        <v>0</v>
      </c>
      <c r="E111" s="109">
        <f t="shared" si="58"/>
        <v>0</v>
      </c>
      <c r="F111" s="109">
        <f t="shared" si="58"/>
        <v>0</v>
      </c>
      <c r="G111" s="109">
        <f t="shared" si="58"/>
        <v>0</v>
      </c>
      <c r="H111" s="109">
        <f t="shared" si="58"/>
        <v>0</v>
      </c>
      <c r="I111" s="109">
        <f t="shared" si="58"/>
        <v>0</v>
      </c>
      <c r="J111" s="109">
        <f t="shared" si="58"/>
        <v>0</v>
      </c>
      <c r="K111" s="109">
        <f t="shared" si="58"/>
        <v>0</v>
      </c>
      <c r="L111" s="109">
        <f t="shared" si="58"/>
        <v>0</v>
      </c>
      <c r="M111" s="109">
        <f t="shared" si="58"/>
        <v>0</v>
      </c>
      <c r="N111" s="109">
        <f t="shared" si="58"/>
        <v>0</v>
      </c>
      <c r="O111" s="109">
        <f t="shared" si="58"/>
        <v>0</v>
      </c>
      <c r="P111" s="109">
        <f t="shared" si="58"/>
        <v>0</v>
      </c>
      <c r="Q111" s="109">
        <f t="shared" si="48"/>
        <v>0</v>
      </c>
      <c r="R111" s="109">
        <f t="shared" si="34"/>
        <v>0</v>
      </c>
      <c r="S111" s="109">
        <f t="shared" si="34"/>
        <v>0</v>
      </c>
      <c r="T111" s="109">
        <f t="shared" si="34"/>
        <v>0</v>
      </c>
      <c r="U111" s="109">
        <f t="shared" si="34"/>
        <v>0</v>
      </c>
      <c r="V111" s="109">
        <f>'Cost Assumptions'!$O$100*SUM(Development!R111:U111)</f>
        <v>0</v>
      </c>
      <c r="W111" s="109">
        <f t="shared" si="56"/>
        <v>0</v>
      </c>
      <c r="X111" s="109">
        <f t="shared" si="49"/>
        <v>0</v>
      </c>
      <c r="Y111" s="109">
        <f>'Cost Assumptions'!$O$101*SUM(Development!R111:V111)</f>
        <v>0</v>
      </c>
      <c r="Z111" s="109">
        <f t="shared" si="35"/>
        <v>0</v>
      </c>
      <c r="AA111" s="121"/>
      <c r="AB111" s="148">
        <f t="shared" si="36"/>
        <v>14</v>
      </c>
      <c r="AC111" s="387">
        <f>IF(OR($AB111=0,$AB111&gt;40),0,INDEX('Devel Overrides'!D$28:D$68,$AB111+1,1)*$AB$86+INDEX('Devel Overrides'!D$28:D$68,$AB111,1)*$AC$87)*'Devel Overrides'!$F$19</f>
        <v>0</v>
      </c>
      <c r="AD111" s="387">
        <f>IF(OR($AB111=0,$AB111&gt;40),0,INDEX('Devel Overrides'!E$28:E$68,$AB111+1,1)*$AB$86+INDEX('Devel Overrides'!E$28:E$68,$AB111,1)*$AC$87)*'Devel Overrides'!$F$19</f>
        <v>0</v>
      </c>
      <c r="AE111" s="387">
        <f>IF(OR($AB111=0,$AB111&gt;40),0,INDEX('Devel Overrides'!F$28:F$68,$AB111+1,1)*$AB$86+INDEX('Devel Overrides'!F$28:F$68,$AB111,1)*$AC$87)*'Devel Overrides'!$F$19</f>
        <v>0</v>
      </c>
      <c r="AF111" s="387">
        <f>IF(OR($AB111=0,$AB111&gt;40),0,INDEX('Devel Overrides'!G$28:G$68,$AB111+1,1)*$AB$86+INDEX('Devel Overrides'!G$28:G$68,$AB111,1)*$AC$87)*'Devel Overrides'!$F$19</f>
        <v>0</v>
      </c>
      <c r="AG111" s="387">
        <f>IF(OR($AB111=0,$AB111&gt;40),0,INDEX('Devel Overrides'!H$28:H$68,$AB111+1,1)*$AB$86+INDEX('Devel Overrides'!H$28:H$68,$AB111,1)*$AC$87)*'Devel Overrides'!$F$19</f>
        <v>0</v>
      </c>
      <c r="AH111" s="387">
        <f>IF(OR($AB111=0,$AB111&gt;40),0,INDEX('Devel Overrides'!I$28:I$68,$AB111+1,1)*$AB$86+INDEX('Devel Overrides'!I$28:I$68,$AB111,1)*$AC$87)*'Devel Overrides'!$F$19</f>
        <v>0</v>
      </c>
      <c r="AI111" s="387">
        <f>IF(OR($AB111=0,$AB111&gt;40),0,INDEX('Devel Overrides'!J$28:J$68,$AB111+1,1)*$AB$86+INDEX('Devel Overrides'!J$28:J$68,$AB111,1)*$AC$87)*'Devel Overrides'!$F$19</f>
        <v>0</v>
      </c>
      <c r="AJ111" s="387">
        <f>IF(OR($AB111=0,$AB111&gt;40),0,INDEX('Devel Overrides'!K$28:K$68,$AB111+1,1)*$AB$86+INDEX('Devel Overrides'!K$28:K$68,$AB111,1)*$AC$87)*'Devel Overrides'!$F$19</f>
        <v>0</v>
      </c>
      <c r="AK111" s="387">
        <f>IF(OR($AB111=0,$AB111&gt;40),0,INDEX('Devel Overrides'!L$28:L$68,$AB111+1,1)*$AB$86+INDEX('Devel Overrides'!L$28:L$68,$AB111,1)*$AC$87)*'Devel Overrides'!$F$19</f>
        <v>0</v>
      </c>
      <c r="AL111" s="64"/>
      <c r="AM111" s="109">
        <f>B111*'Selected Economics'!$J30*'Sensitivity Ranges'!$F$43</f>
        <v>0</v>
      </c>
      <c r="AN111" s="109">
        <f>IF($AB$85=1,AC111,Q111)*'Selected Economics'!$J30*'Sensitivity Ranges'!$F$43</f>
        <v>0</v>
      </c>
      <c r="AO111" s="109">
        <f>IF($AB$85=1,AD111,R111)*'Selected Economics'!$J30*'Sensitivity Ranges'!$F$43</f>
        <v>0</v>
      </c>
      <c r="AP111" s="109">
        <f>IF($AB$85=1,AE111,S111)*'Selected Economics'!$J30*'Sensitivity Ranges'!$F$43</f>
        <v>0</v>
      </c>
      <c r="AQ111" s="109">
        <f>IF($AB$85=1,AF111,T111)*'Selected Economics'!$J30*'Sensitivity Ranges'!$F$43</f>
        <v>0</v>
      </c>
      <c r="AR111" s="109">
        <f>IF($AB$85=1,AG111,U111)*'Selected Economics'!$J30*'Sensitivity Ranges'!$F$43</f>
        <v>0</v>
      </c>
      <c r="AS111" s="109">
        <f>IF($AB$85=1,AH111,V111)*'Selected Economics'!$J30*'Sensitivity Ranges'!$F$43</f>
        <v>0</v>
      </c>
      <c r="AT111" s="109">
        <f>IF($AB$85=1,AI111,W111)*'Selected Economics'!$J30*'Sensitivity Ranges'!$F$43</f>
        <v>0</v>
      </c>
      <c r="AU111" s="109">
        <f>IF($AB$85=1,AJ111,X111)*'Selected Economics'!$J30*'Sensitivity Ranges'!$F$43</f>
        <v>0</v>
      </c>
      <c r="AV111" s="109">
        <f>IF($AB$85=1,AK111,Y111)*'Selected Economics'!$J30*'Sensitivity Ranges'!$F$43</f>
        <v>0</v>
      </c>
      <c r="AW111" s="109">
        <f t="shared" si="51"/>
        <v>0</v>
      </c>
      <c r="AX111" s="121"/>
      <c r="AY111" s="109">
        <f t="shared" si="57"/>
        <v>0</v>
      </c>
      <c r="AZ111" s="109">
        <f>AN111*Abandonment!$H35</f>
        <v>0</v>
      </c>
      <c r="BA111" s="109">
        <f>AO111*Abandonment!$H35</f>
        <v>0</v>
      </c>
      <c r="BB111" s="109">
        <f>AP111*Abandonment!$H35</f>
        <v>0</v>
      </c>
      <c r="BC111" s="109">
        <f>AQ111*Abandonment!$H35</f>
        <v>0</v>
      </c>
      <c r="BD111" s="109">
        <f>AR111*Abandonment!$H35</f>
        <v>0</v>
      </c>
      <c r="BE111" s="109">
        <f>AS111*Abandonment!$H35</f>
        <v>0</v>
      </c>
      <c r="BF111" s="109">
        <f>AT111*Abandonment!$H35</f>
        <v>0</v>
      </c>
      <c r="BG111" s="109">
        <f>AU111*Abandonment!$H35</f>
        <v>0</v>
      </c>
      <c r="BH111" s="109">
        <f>AV111*Abandonment!$H35</f>
        <v>0</v>
      </c>
      <c r="BI111" s="109">
        <f t="shared" si="52"/>
        <v>0</v>
      </c>
      <c r="BJ111" s="121"/>
      <c r="BK111" s="109">
        <f>AZ111+Exploration!R56</f>
        <v>0</v>
      </c>
      <c r="BL111" s="109">
        <f>AY111+(BA111+BB111+BC111+IF(Input!$B$17="Shore",0,Development!BD111)+BE111)*(1+'Cost Assumptions'!$O$101)+BF111</f>
        <v>0</v>
      </c>
      <c r="BM111" s="109">
        <f>IF(Input!$B$17="Shore",Development!BD111,0)*(1+'Cost Assumptions'!$O$101)+BG111</f>
        <v>0</v>
      </c>
      <c r="BN111" s="105"/>
      <c r="BO111" s="105"/>
      <c r="BP111" s="109">
        <f t="shared" si="37"/>
        <v>0</v>
      </c>
      <c r="BQ111" s="145"/>
      <c r="BR111" s="105"/>
      <c r="BS111" s="109">
        <f t="shared" ca="1" si="38"/>
        <v>0</v>
      </c>
      <c r="BT111" s="109">
        <f t="shared" ca="1" si="39"/>
        <v>0</v>
      </c>
      <c r="BU111" s="109">
        <f t="shared" ca="1" si="40"/>
        <v>0</v>
      </c>
      <c r="BV111" s="109">
        <f t="shared" ca="1" si="41"/>
        <v>0</v>
      </c>
      <c r="BW111" s="109">
        <f t="shared" ca="1" si="42"/>
        <v>0</v>
      </c>
      <c r="BX111" s="109">
        <f t="shared" ca="1" si="43"/>
        <v>0</v>
      </c>
      <c r="BY111" s="109">
        <f t="shared" ca="1" si="44"/>
        <v>0</v>
      </c>
      <c r="BZ111" s="109">
        <f t="shared" ca="1" si="45"/>
        <v>0</v>
      </c>
      <c r="CA111" s="109">
        <f t="shared" ca="1" si="46"/>
        <v>0</v>
      </c>
      <c r="CB111" s="109">
        <f t="shared" ca="1" si="47"/>
        <v>0</v>
      </c>
      <c r="CC111" s="109">
        <f t="shared" ca="1" si="53"/>
        <v>0</v>
      </c>
      <c r="CD111" s="109"/>
      <c r="CE111" s="109">
        <f t="shared" si="54"/>
        <v>0</v>
      </c>
    </row>
    <row r="112" spans="1:83">
      <c r="A112" s="90">
        <f t="shared" si="55"/>
        <v>2043</v>
      </c>
      <c r="B112" s="109">
        <f t="shared" si="32"/>
        <v>0</v>
      </c>
      <c r="C112" s="109">
        <f t="shared" ref="C112:P121" si="59">IF($A112=INDEX($H$41:$N$54,C$87,1),INDEX($O$41:$Y$54,C$87,1),IF($A112=INDEX($H$41:$N$54,C$87,2),INDEX($O$41:$Y$54,C$87,2),IF($A112=INDEX($H$41:$N$54,C$87,3),INDEX($O$41:$Y$54,C$87,3),IF($A112=INDEX($H$41:$N$54,C$87,4),INDEX($O$41:$Y$54,C$87,4),IF($A112=INDEX($H$41:$N$54,C$87,5),INDEX($O$41:$Y$54,C$87,5),IF($A112=INDEX($H$41:$N$54,C$87,6),INDEX($O$41:$Y$54,C$87,6),IF($A112=INDEX($H$41:$N$54,C$87,7),INDEX($O$41:$Y$54,C$87,7),0)))))))/1000</f>
        <v>0</v>
      </c>
      <c r="D112" s="109">
        <f t="shared" si="59"/>
        <v>0</v>
      </c>
      <c r="E112" s="109">
        <f t="shared" si="59"/>
        <v>0</v>
      </c>
      <c r="F112" s="109">
        <f t="shared" si="59"/>
        <v>0</v>
      </c>
      <c r="G112" s="109">
        <f t="shared" si="59"/>
        <v>0</v>
      </c>
      <c r="H112" s="109">
        <f t="shared" si="59"/>
        <v>0</v>
      </c>
      <c r="I112" s="109">
        <f t="shared" si="59"/>
        <v>0</v>
      </c>
      <c r="J112" s="109">
        <f t="shared" si="59"/>
        <v>0</v>
      </c>
      <c r="K112" s="109">
        <f t="shared" si="59"/>
        <v>0</v>
      </c>
      <c r="L112" s="109">
        <f t="shared" si="59"/>
        <v>0</v>
      </c>
      <c r="M112" s="109">
        <f t="shared" si="59"/>
        <v>0</v>
      </c>
      <c r="N112" s="109">
        <f t="shared" si="59"/>
        <v>0</v>
      </c>
      <c r="O112" s="109">
        <f t="shared" si="59"/>
        <v>0</v>
      </c>
      <c r="P112" s="109">
        <f t="shared" si="59"/>
        <v>0</v>
      </c>
      <c r="Q112" s="109">
        <f t="shared" si="48"/>
        <v>0</v>
      </c>
      <c r="R112" s="109">
        <f t="shared" ref="R112:U131" si="60">IF($A112=INDEX($R$74:$U$77,R$87,1),INDEX($V$74:$Y$77,R$87,1),IF($A112=INDEX($R$74:$U$77,R$87,2),INDEX($V$74:$Y$77,R$87,2),IF($A112=INDEX($R$74:$U$77,R$87,3),INDEX($V$74:$Y$77,R$87,3),IF($A112=INDEX($R$74:$U$77,R$87,4),INDEX($V$74:$Y$77,R$87,4),0))))/1000</f>
        <v>0</v>
      </c>
      <c r="S112" s="109">
        <f t="shared" si="60"/>
        <v>0</v>
      </c>
      <c r="T112" s="109">
        <f t="shared" si="60"/>
        <v>0</v>
      </c>
      <c r="U112" s="109">
        <f t="shared" si="60"/>
        <v>0</v>
      </c>
      <c r="V112" s="109">
        <f>'Cost Assumptions'!$O$100*SUM(Development!R112:U112)</f>
        <v>0</v>
      </c>
      <c r="W112" s="109">
        <f t="shared" si="56"/>
        <v>0</v>
      </c>
      <c r="X112" s="109">
        <f t="shared" si="49"/>
        <v>0</v>
      </c>
      <c r="Y112" s="109">
        <f>'Cost Assumptions'!$O$101*SUM(Development!R112:V112)</f>
        <v>0</v>
      </c>
      <c r="Z112" s="109">
        <f t="shared" si="35"/>
        <v>0</v>
      </c>
      <c r="AA112" s="121"/>
      <c r="AB112" s="148">
        <f t="shared" si="36"/>
        <v>15</v>
      </c>
      <c r="AC112" s="387">
        <f>IF(OR($AB112=0,$AB112&gt;40),0,INDEX('Devel Overrides'!D$28:D$68,$AB112+1,1)*$AB$86+INDEX('Devel Overrides'!D$28:D$68,$AB112,1)*$AC$87)*'Devel Overrides'!$F$19</f>
        <v>0</v>
      </c>
      <c r="AD112" s="387">
        <f>IF(OR($AB112=0,$AB112&gt;40),0,INDEX('Devel Overrides'!E$28:E$68,$AB112+1,1)*$AB$86+INDEX('Devel Overrides'!E$28:E$68,$AB112,1)*$AC$87)*'Devel Overrides'!$F$19</f>
        <v>0</v>
      </c>
      <c r="AE112" s="387">
        <f>IF(OR($AB112=0,$AB112&gt;40),0,INDEX('Devel Overrides'!F$28:F$68,$AB112+1,1)*$AB$86+INDEX('Devel Overrides'!F$28:F$68,$AB112,1)*$AC$87)*'Devel Overrides'!$F$19</f>
        <v>0</v>
      </c>
      <c r="AF112" s="387">
        <f>IF(OR($AB112=0,$AB112&gt;40),0,INDEX('Devel Overrides'!G$28:G$68,$AB112+1,1)*$AB$86+INDEX('Devel Overrides'!G$28:G$68,$AB112,1)*$AC$87)*'Devel Overrides'!$F$19</f>
        <v>0</v>
      </c>
      <c r="AG112" s="387">
        <f>IF(OR($AB112=0,$AB112&gt;40),0,INDEX('Devel Overrides'!H$28:H$68,$AB112+1,1)*$AB$86+INDEX('Devel Overrides'!H$28:H$68,$AB112,1)*$AC$87)*'Devel Overrides'!$F$19</f>
        <v>0</v>
      </c>
      <c r="AH112" s="387">
        <f>IF(OR($AB112=0,$AB112&gt;40),0,INDEX('Devel Overrides'!I$28:I$68,$AB112+1,1)*$AB$86+INDEX('Devel Overrides'!I$28:I$68,$AB112,1)*$AC$87)*'Devel Overrides'!$F$19</f>
        <v>0</v>
      </c>
      <c r="AI112" s="387">
        <f>IF(OR($AB112=0,$AB112&gt;40),0,INDEX('Devel Overrides'!J$28:J$68,$AB112+1,1)*$AB$86+INDEX('Devel Overrides'!J$28:J$68,$AB112,1)*$AC$87)*'Devel Overrides'!$F$19</f>
        <v>0</v>
      </c>
      <c r="AJ112" s="387">
        <f>IF(OR($AB112=0,$AB112&gt;40),0,INDEX('Devel Overrides'!K$28:K$68,$AB112+1,1)*$AB$86+INDEX('Devel Overrides'!K$28:K$68,$AB112,1)*$AC$87)*'Devel Overrides'!$F$19</f>
        <v>0</v>
      </c>
      <c r="AK112" s="387">
        <f>IF(OR($AB112=0,$AB112&gt;40),0,INDEX('Devel Overrides'!L$28:L$68,$AB112+1,1)*$AB$86+INDEX('Devel Overrides'!L$28:L$68,$AB112,1)*$AC$87)*'Devel Overrides'!$F$19</f>
        <v>0</v>
      </c>
      <c r="AL112" s="64"/>
      <c r="AM112" s="109">
        <f>B112*'Selected Economics'!$J31*'Sensitivity Ranges'!$F$43</f>
        <v>0</v>
      </c>
      <c r="AN112" s="109">
        <f>IF($AB$85=1,AC112,Q112)*'Selected Economics'!$J31*'Sensitivity Ranges'!$F$43</f>
        <v>0</v>
      </c>
      <c r="AO112" s="109">
        <f>IF($AB$85=1,AD112,R112)*'Selected Economics'!$J31*'Sensitivity Ranges'!$F$43</f>
        <v>0</v>
      </c>
      <c r="AP112" s="109">
        <f>IF($AB$85=1,AE112,S112)*'Selected Economics'!$J31*'Sensitivity Ranges'!$F$43</f>
        <v>0</v>
      </c>
      <c r="AQ112" s="109">
        <f>IF($AB$85=1,AF112,T112)*'Selected Economics'!$J31*'Sensitivity Ranges'!$F$43</f>
        <v>0</v>
      </c>
      <c r="AR112" s="109">
        <f>IF($AB$85=1,AG112,U112)*'Selected Economics'!$J31*'Sensitivity Ranges'!$F$43</f>
        <v>0</v>
      </c>
      <c r="AS112" s="109">
        <f>IF($AB$85=1,AH112,V112)*'Selected Economics'!$J31*'Sensitivity Ranges'!$F$43</f>
        <v>0</v>
      </c>
      <c r="AT112" s="109">
        <f>IF($AB$85=1,AI112,W112)*'Selected Economics'!$J31*'Sensitivity Ranges'!$F$43</f>
        <v>0</v>
      </c>
      <c r="AU112" s="109">
        <f>IF($AB$85=1,AJ112,X112)*'Selected Economics'!$J31*'Sensitivity Ranges'!$F$43</f>
        <v>0</v>
      </c>
      <c r="AV112" s="109">
        <f>IF($AB$85=1,AK112,Y112)*'Selected Economics'!$J31*'Sensitivity Ranges'!$F$43</f>
        <v>0</v>
      </c>
      <c r="AW112" s="109">
        <f t="shared" si="51"/>
        <v>0</v>
      </c>
      <c r="AX112" s="121"/>
      <c r="AY112" s="109">
        <f t="shared" si="57"/>
        <v>0</v>
      </c>
      <c r="AZ112" s="109">
        <f>AN112*Abandonment!$H36</f>
        <v>0</v>
      </c>
      <c r="BA112" s="109">
        <f>AO112*Abandonment!$H36</f>
        <v>0</v>
      </c>
      <c r="BB112" s="109">
        <f>AP112*Abandonment!$H36</f>
        <v>0</v>
      </c>
      <c r="BC112" s="109">
        <f>AQ112*Abandonment!$H36</f>
        <v>0</v>
      </c>
      <c r="BD112" s="109">
        <f>AR112*Abandonment!$H36</f>
        <v>0</v>
      </c>
      <c r="BE112" s="109">
        <f>AS112*Abandonment!$H36</f>
        <v>0</v>
      </c>
      <c r="BF112" s="109">
        <f>AT112*Abandonment!$H36</f>
        <v>0</v>
      </c>
      <c r="BG112" s="109">
        <f>AU112*Abandonment!$H36</f>
        <v>0</v>
      </c>
      <c r="BH112" s="109">
        <f>AV112*Abandonment!$H36</f>
        <v>0</v>
      </c>
      <c r="BI112" s="109">
        <f t="shared" si="52"/>
        <v>0</v>
      </c>
      <c r="BJ112" s="121"/>
      <c r="BK112" s="109">
        <f>AZ112+Exploration!R57</f>
        <v>0</v>
      </c>
      <c r="BL112" s="109">
        <f>AY112+(BA112+BB112+BC112+IF(Input!$B$17="Shore",0,Development!BD112)+BE112)*(1+'Cost Assumptions'!$O$101)+BF112</f>
        <v>0</v>
      </c>
      <c r="BM112" s="109">
        <f>IF(Input!$B$17="Shore",Development!BD112,0)*(1+'Cost Assumptions'!$O$101)+BG112</f>
        <v>0</v>
      </c>
      <c r="BN112" s="105"/>
      <c r="BO112" s="105"/>
      <c r="BP112" s="109">
        <f t="shared" si="37"/>
        <v>0</v>
      </c>
      <c r="BQ112" s="145"/>
      <c r="BR112" s="105"/>
      <c r="BS112" s="109">
        <f t="shared" ca="1" si="38"/>
        <v>0</v>
      </c>
      <c r="BT112" s="109">
        <f t="shared" ca="1" si="39"/>
        <v>0</v>
      </c>
      <c r="BU112" s="109">
        <f t="shared" ca="1" si="40"/>
        <v>0</v>
      </c>
      <c r="BV112" s="109">
        <f t="shared" ca="1" si="41"/>
        <v>0</v>
      </c>
      <c r="BW112" s="109">
        <f t="shared" ca="1" si="42"/>
        <v>0</v>
      </c>
      <c r="BX112" s="109">
        <f t="shared" ca="1" si="43"/>
        <v>0</v>
      </c>
      <c r="BY112" s="109">
        <f t="shared" ca="1" si="44"/>
        <v>0</v>
      </c>
      <c r="BZ112" s="109">
        <f t="shared" ca="1" si="45"/>
        <v>0</v>
      </c>
      <c r="CA112" s="109">
        <f t="shared" ca="1" si="46"/>
        <v>0</v>
      </c>
      <c r="CB112" s="109">
        <f t="shared" ca="1" si="47"/>
        <v>0</v>
      </c>
      <c r="CC112" s="109">
        <f t="shared" ca="1" si="53"/>
        <v>0</v>
      </c>
      <c r="CD112" s="109"/>
      <c r="CE112" s="109">
        <f t="shared" si="54"/>
        <v>0</v>
      </c>
    </row>
    <row r="113" spans="1:83">
      <c r="A113" s="90">
        <f t="shared" si="55"/>
        <v>2044</v>
      </c>
      <c r="B113" s="109">
        <f t="shared" si="32"/>
        <v>0</v>
      </c>
      <c r="C113" s="109">
        <f t="shared" si="59"/>
        <v>0</v>
      </c>
      <c r="D113" s="109">
        <f t="shared" si="59"/>
        <v>0</v>
      </c>
      <c r="E113" s="109">
        <f t="shared" si="59"/>
        <v>0</v>
      </c>
      <c r="F113" s="109">
        <f t="shared" si="59"/>
        <v>0</v>
      </c>
      <c r="G113" s="109">
        <f t="shared" si="59"/>
        <v>0</v>
      </c>
      <c r="H113" s="109">
        <f t="shared" si="59"/>
        <v>0</v>
      </c>
      <c r="I113" s="109">
        <f t="shared" si="59"/>
        <v>0</v>
      </c>
      <c r="J113" s="109">
        <f t="shared" si="59"/>
        <v>0</v>
      </c>
      <c r="K113" s="109">
        <f t="shared" si="59"/>
        <v>0</v>
      </c>
      <c r="L113" s="109">
        <f t="shared" si="59"/>
        <v>0</v>
      </c>
      <c r="M113" s="109">
        <f t="shared" si="59"/>
        <v>0</v>
      </c>
      <c r="N113" s="109">
        <f t="shared" si="59"/>
        <v>0</v>
      </c>
      <c r="O113" s="109">
        <f t="shared" si="59"/>
        <v>0</v>
      </c>
      <c r="P113" s="109">
        <f t="shared" si="59"/>
        <v>0</v>
      </c>
      <c r="Q113" s="109">
        <f t="shared" si="48"/>
        <v>0</v>
      </c>
      <c r="R113" s="109">
        <f t="shared" si="60"/>
        <v>0</v>
      </c>
      <c r="S113" s="109">
        <f t="shared" si="60"/>
        <v>0</v>
      </c>
      <c r="T113" s="109">
        <f t="shared" si="60"/>
        <v>0</v>
      </c>
      <c r="U113" s="109">
        <f t="shared" si="60"/>
        <v>0</v>
      </c>
      <c r="V113" s="109">
        <f>'Cost Assumptions'!$O$100*SUM(Development!R113:U113)</f>
        <v>0</v>
      </c>
      <c r="W113" s="109">
        <f t="shared" si="56"/>
        <v>0</v>
      </c>
      <c r="X113" s="109">
        <f t="shared" si="49"/>
        <v>0</v>
      </c>
      <c r="Y113" s="109">
        <f>'Cost Assumptions'!$O$101*SUM(Development!R113:V113)</f>
        <v>0</v>
      </c>
      <c r="Z113" s="109">
        <f t="shared" si="35"/>
        <v>0</v>
      </c>
      <c r="AA113" s="121"/>
      <c r="AB113" s="148">
        <f t="shared" si="36"/>
        <v>16</v>
      </c>
      <c r="AC113" s="387">
        <f>IF(OR($AB113=0,$AB113&gt;40),0,INDEX('Devel Overrides'!D$28:D$68,$AB113+1,1)*$AB$86+INDEX('Devel Overrides'!D$28:D$68,$AB113,1)*$AC$87)*'Devel Overrides'!$F$19</f>
        <v>0</v>
      </c>
      <c r="AD113" s="387">
        <f>IF(OR($AB113=0,$AB113&gt;40),0,INDEX('Devel Overrides'!E$28:E$68,$AB113+1,1)*$AB$86+INDEX('Devel Overrides'!E$28:E$68,$AB113,1)*$AC$87)*'Devel Overrides'!$F$19</f>
        <v>0</v>
      </c>
      <c r="AE113" s="387">
        <f>IF(OR($AB113=0,$AB113&gt;40),0,INDEX('Devel Overrides'!F$28:F$68,$AB113+1,1)*$AB$86+INDEX('Devel Overrides'!F$28:F$68,$AB113,1)*$AC$87)*'Devel Overrides'!$F$19</f>
        <v>0</v>
      </c>
      <c r="AF113" s="387">
        <f>IF(OR($AB113=0,$AB113&gt;40),0,INDEX('Devel Overrides'!G$28:G$68,$AB113+1,1)*$AB$86+INDEX('Devel Overrides'!G$28:G$68,$AB113,1)*$AC$87)*'Devel Overrides'!$F$19</f>
        <v>0</v>
      </c>
      <c r="AG113" s="387">
        <f>IF(OR($AB113=0,$AB113&gt;40),0,INDEX('Devel Overrides'!H$28:H$68,$AB113+1,1)*$AB$86+INDEX('Devel Overrides'!H$28:H$68,$AB113,1)*$AC$87)*'Devel Overrides'!$F$19</f>
        <v>0</v>
      </c>
      <c r="AH113" s="387">
        <f>IF(OR($AB113=0,$AB113&gt;40),0,INDEX('Devel Overrides'!I$28:I$68,$AB113+1,1)*$AB$86+INDEX('Devel Overrides'!I$28:I$68,$AB113,1)*$AC$87)*'Devel Overrides'!$F$19</f>
        <v>0</v>
      </c>
      <c r="AI113" s="387">
        <f>IF(OR($AB113=0,$AB113&gt;40),0,INDEX('Devel Overrides'!J$28:J$68,$AB113+1,1)*$AB$86+INDEX('Devel Overrides'!J$28:J$68,$AB113,1)*$AC$87)*'Devel Overrides'!$F$19</f>
        <v>0</v>
      </c>
      <c r="AJ113" s="387">
        <f>IF(OR($AB113=0,$AB113&gt;40),0,INDEX('Devel Overrides'!K$28:K$68,$AB113+1,1)*$AB$86+INDEX('Devel Overrides'!K$28:K$68,$AB113,1)*$AC$87)*'Devel Overrides'!$F$19</f>
        <v>0</v>
      </c>
      <c r="AK113" s="387">
        <f>IF(OR($AB113=0,$AB113&gt;40),0,INDEX('Devel Overrides'!L$28:L$68,$AB113+1,1)*$AB$86+INDEX('Devel Overrides'!L$28:L$68,$AB113,1)*$AC$87)*'Devel Overrides'!$F$19</f>
        <v>0</v>
      </c>
      <c r="AL113" s="64"/>
      <c r="AM113" s="109">
        <f>B113*'Selected Economics'!$J32*'Sensitivity Ranges'!$F$43</f>
        <v>0</v>
      </c>
      <c r="AN113" s="109">
        <f>IF($AB$85=1,AC113,Q113)*'Selected Economics'!$J32*'Sensitivity Ranges'!$F$43</f>
        <v>0</v>
      </c>
      <c r="AO113" s="109">
        <f>IF($AB$85=1,AD113,R113)*'Selected Economics'!$J32*'Sensitivity Ranges'!$F$43</f>
        <v>0</v>
      </c>
      <c r="AP113" s="109">
        <f>IF($AB$85=1,AE113,S113)*'Selected Economics'!$J32*'Sensitivity Ranges'!$F$43</f>
        <v>0</v>
      </c>
      <c r="AQ113" s="109">
        <f>IF($AB$85=1,AF113,T113)*'Selected Economics'!$J32*'Sensitivity Ranges'!$F$43</f>
        <v>0</v>
      </c>
      <c r="AR113" s="109">
        <f>IF($AB$85=1,AG113,U113)*'Selected Economics'!$J32*'Sensitivity Ranges'!$F$43</f>
        <v>0</v>
      </c>
      <c r="AS113" s="109">
        <f>IF($AB$85=1,AH113,V113)*'Selected Economics'!$J32*'Sensitivity Ranges'!$F$43</f>
        <v>0</v>
      </c>
      <c r="AT113" s="109">
        <f>IF($AB$85=1,AI113,W113)*'Selected Economics'!$J32*'Sensitivity Ranges'!$F$43</f>
        <v>0</v>
      </c>
      <c r="AU113" s="109">
        <f>IF($AB$85=1,AJ113,X113)*'Selected Economics'!$J32*'Sensitivity Ranges'!$F$43</f>
        <v>0</v>
      </c>
      <c r="AV113" s="109">
        <f>IF($AB$85=1,AK113,Y113)*'Selected Economics'!$J32*'Sensitivity Ranges'!$F$43</f>
        <v>0</v>
      </c>
      <c r="AW113" s="109">
        <f t="shared" si="51"/>
        <v>0</v>
      </c>
      <c r="AX113" s="121"/>
      <c r="AY113" s="109">
        <f t="shared" si="57"/>
        <v>0</v>
      </c>
      <c r="AZ113" s="109">
        <f>AN113*Abandonment!$H37</f>
        <v>0</v>
      </c>
      <c r="BA113" s="109">
        <f>AO113*Abandonment!$H37</f>
        <v>0</v>
      </c>
      <c r="BB113" s="109">
        <f>AP113*Abandonment!$H37</f>
        <v>0</v>
      </c>
      <c r="BC113" s="109">
        <f>AQ113*Abandonment!$H37</f>
        <v>0</v>
      </c>
      <c r="BD113" s="109">
        <f>AR113*Abandonment!$H37</f>
        <v>0</v>
      </c>
      <c r="BE113" s="109">
        <f>AS113*Abandonment!$H37</f>
        <v>0</v>
      </c>
      <c r="BF113" s="109">
        <f>AT113*Abandonment!$H37</f>
        <v>0</v>
      </c>
      <c r="BG113" s="109">
        <f>AU113*Abandonment!$H37</f>
        <v>0</v>
      </c>
      <c r="BH113" s="109">
        <f>AV113*Abandonment!$H37</f>
        <v>0</v>
      </c>
      <c r="BI113" s="109">
        <f t="shared" si="52"/>
        <v>0</v>
      </c>
      <c r="BJ113" s="121"/>
      <c r="BK113" s="109">
        <f>AZ113+Exploration!R58</f>
        <v>0</v>
      </c>
      <c r="BL113" s="109">
        <f>AY113+(BA113+BB113+BC113+IF(Input!$B$17="Shore",0,Development!BD113)+BE113)*(1+'Cost Assumptions'!$O$101)+BF113</f>
        <v>0</v>
      </c>
      <c r="BM113" s="109">
        <f>IF(Input!$B$17="Shore",Development!BD113,0)*(1+'Cost Assumptions'!$O$101)+BG113</f>
        <v>0</v>
      </c>
      <c r="BN113" s="105"/>
      <c r="BO113" s="105"/>
      <c r="BP113" s="109">
        <f t="shared" si="37"/>
        <v>0</v>
      </c>
      <c r="BQ113" s="145"/>
      <c r="BR113" s="105"/>
      <c r="BS113" s="109">
        <f t="shared" ca="1" si="38"/>
        <v>0</v>
      </c>
      <c r="BT113" s="109">
        <f t="shared" ca="1" si="39"/>
        <v>0</v>
      </c>
      <c r="BU113" s="109">
        <f t="shared" ca="1" si="40"/>
        <v>0</v>
      </c>
      <c r="BV113" s="109">
        <f t="shared" ca="1" si="41"/>
        <v>0</v>
      </c>
      <c r="BW113" s="109">
        <f t="shared" ca="1" si="42"/>
        <v>0</v>
      </c>
      <c r="BX113" s="109">
        <f t="shared" ca="1" si="43"/>
        <v>0</v>
      </c>
      <c r="BY113" s="109">
        <f t="shared" ca="1" si="44"/>
        <v>0</v>
      </c>
      <c r="BZ113" s="109">
        <f t="shared" ca="1" si="45"/>
        <v>0</v>
      </c>
      <c r="CA113" s="109">
        <f t="shared" ca="1" si="46"/>
        <v>0</v>
      </c>
      <c r="CB113" s="109">
        <f t="shared" ca="1" si="47"/>
        <v>0</v>
      </c>
      <c r="CC113" s="109">
        <f t="shared" ca="1" si="53"/>
        <v>0</v>
      </c>
      <c r="CD113" s="109"/>
      <c r="CE113" s="109">
        <f t="shared" si="54"/>
        <v>0</v>
      </c>
    </row>
    <row r="114" spans="1:83">
      <c r="A114" s="90">
        <f t="shared" si="55"/>
        <v>2045</v>
      </c>
      <c r="B114" s="109">
        <f t="shared" si="32"/>
        <v>0</v>
      </c>
      <c r="C114" s="109">
        <f t="shared" si="59"/>
        <v>0</v>
      </c>
      <c r="D114" s="109">
        <f t="shared" si="59"/>
        <v>0</v>
      </c>
      <c r="E114" s="109">
        <f t="shared" si="59"/>
        <v>0</v>
      </c>
      <c r="F114" s="109">
        <f t="shared" si="59"/>
        <v>0</v>
      </c>
      <c r="G114" s="109">
        <f t="shared" si="59"/>
        <v>0</v>
      </c>
      <c r="H114" s="109">
        <f t="shared" si="59"/>
        <v>0</v>
      </c>
      <c r="I114" s="109">
        <f t="shared" si="59"/>
        <v>0</v>
      </c>
      <c r="J114" s="109">
        <f t="shared" si="59"/>
        <v>0</v>
      </c>
      <c r="K114" s="109">
        <f t="shared" si="59"/>
        <v>0</v>
      </c>
      <c r="L114" s="109">
        <f t="shared" si="59"/>
        <v>0</v>
      </c>
      <c r="M114" s="109">
        <f t="shared" si="59"/>
        <v>0</v>
      </c>
      <c r="N114" s="109">
        <f t="shared" si="59"/>
        <v>0</v>
      </c>
      <c r="O114" s="109">
        <f t="shared" si="59"/>
        <v>0</v>
      </c>
      <c r="P114" s="109">
        <f t="shared" si="59"/>
        <v>0</v>
      </c>
      <c r="Q114" s="109">
        <f t="shared" si="48"/>
        <v>0</v>
      </c>
      <c r="R114" s="109">
        <f t="shared" si="60"/>
        <v>0</v>
      </c>
      <c r="S114" s="109">
        <f t="shared" si="60"/>
        <v>0</v>
      </c>
      <c r="T114" s="109">
        <f t="shared" si="60"/>
        <v>0</v>
      </c>
      <c r="U114" s="109">
        <f t="shared" si="60"/>
        <v>0</v>
      </c>
      <c r="V114" s="109">
        <f>'Cost Assumptions'!$O$100*SUM(Development!R114:U114)</f>
        <v>0</v>
      </c>
      <c r="W114" s="109">
        <f t="shared" si="56"/>
        <v>0</v>
      </c>
      <c r="X114" s="109">
        <f t="shared" si="49"/>
        <v>0</v>
      </c>
      <c r="Y114" s="109">
        <f>'Cost Assumptions'!$O$101*SUM(Development!R114:V114)</f>
        <v>0</v>
      </c>
      <c r="Z114" s="109">
        <f t="shared" si="35"/>
        <v>0</v>
      </c>
      <c r="AA114" s="121"/>
      <c r="AB114" s="148">
        <f t="shared" si="36"/>
        <v>17</v>
      </c>
      <c r="AC114" s="387">
        <f>IF(OR($AB114=0,$AB114&gt;40),0,INDEX('Devel Overrides'!D$28:D$68,$AB114+1,1)*$AB$86+INDEX('Devel Overrides'!D$28:D$68,$AB114,1)*$AC$87)*'Devel Overrides'!$F$19</f>
        <v>0</v>
      </c>
      <c r="AD114" s="387">
        <f>IF(OR($AB114=0,$AB114&gt;40),0,INDEX('Devel Overrides'!E$28:E$68,$AB114+1,1)*$AB$86+INDEX('Devel Overrides'!E$28:E$68,$AB114,1)*$AC$87)*'Devel Overrides'!$F$19</f>
        <v>0</v>
      </c>
      <c r="AE114" s="387">
        <f>IF(OR($AB114=0,$AB114&gt;40),0,INDEX('Devel Overrides'!F$28:F$68,$AB114+1,1)*$AB$86+INDEX('Devel Overrides'!F$28:F$68,$AB114,1)*$AC$87)*'Devel Overrides'!$F$19</f>
        <v>0</v>
      </c>
      <c r="AF114" s="387">
        <f>IF(OR($AB114=0,$AB114&gt;40),0,INDEX('Devel Overrides'!G$28:G$68,$AB114+1,1)*$AB$86+INDEX('Devel Overrides'!G$28:G$68,$AB114,1)*$AC$87)*'Devel Overrides'!$F$19</f>
        <v>0</v>
      </c>
      <c r="AG114" s="387">
        <f>IF(OR($AB114=0,$AB114&gt;40),0,INDEX('Devel Overrides'!H$28:H$68,$AB114+1,1)*$AB$86+INDEX('Devel Overrides'!H$28:H$68,$AB114,1)*$AC$87)*'Devel Overrides'!$F$19</f>
        <v>0</v>
      </c>
      <c r="AH114" s="387">
        <f>IF(OR($AB114=0,$AB114&gt;40),0,INDEX('Devel Overrides'!I$28:I$68,$AB114+1,1)*$AB$86+INDEX('Devel Overrides'!I$28:I$68,$AB114,1)*$AC$87)*'Devel Overrides'!$F$19</f>
        <v>0</v>
      </c>
      <c r="AI114" s="387">
        <f>IF(OR($AB114=0,$AB114&gt;40),0,INDEX('Devel Overrides'!J$28:J$68,$AB114+1,1)*$AB$86+INDEX('Devel Overrides'!J$28:J$68,$AB114,1)*$AC$87)*'Devel Overrides'!$F$19</f>
        <v>0</v>
      </c>
      <c r="AJ114" s="387">
        <f>IF(OR($AB114=0,$AB114&gt;40),0,INDEX('Devel Overrides'!K$28:K$68,$AB114+1,1)*$AB$86+INDEX('Devel Overrides'!K$28:K$68,$AB114,1)*$AC$87)*'Devel Overrides'!$F$19</f>
        <v>0</v>
      </c>
      <c r="AK114" s="387">
        <f>IF(OR($AB114=0,$AB114&gt;40),0,INDEX('Devel Overrides'!L$28:L$68,$AB114+1,1)*$AB$86+INDEX('Devel Overrides'!L$28:L$68,$AB114,1)*$AC$87)*'Devel Overrides'!$F$19</f>
        <v>0</v>
      </c>
      <c r="AL114" s="64"/>
      <c r="AM114" s="109">
        <f>B114*'Selected Economics'!$J33*'Sensitivity Ranges'!$F$43</f>
        <v>0</v>
      </c>
      <c r="AN114" s="109">
        <f>IF($AB$85=1,AC114,Q114)*'Selected Economics'!$J33*'Sensitivity Ranges'!$F$43</f>
        <v>0</v>
      </c>
      <c r="AO114" s="109">
        <f>IF($AB$85=1,AD114,R114)*'Selected Economics'!$J33*'Sensitivity Ranges'!$F$43</f>
        <v>0</v>
      </c>
      <c r="AP114" s="109">
        <f>IF($AB$85=1,AE114,S114)*'Selected Economics'!$J33*'Sensitivity Ranges'!$F$43</f>
        <v>0</v>
      </c>
      <c r="AQ114" s="109">
        <f>IF($AB$85=1,AF114,T114)*'Selected Economics'!$J33*'Sensitivity Ranges'!$F$43</f>
        <v>0</v>
      </c>
      <c r="AR114" s="109">
        <f>IF($AB$85=1,AG114,U114)*'Selected Economics'!$J33*'Sensitivity Ranges'!$F$43</f>
        <v>0</v>
      </c>
      <c r="AS114" s="109">
        <f>IF($AB$85=1,AH114,V114)*'Selected Economics'!$J33*'Sensitivity Ranges'!$F$43</f>
        <v>0</v>
      </c>
      <c r="AT114" s="109">
        <f>IF($AB$85=1,AI114,W114)*'Selected Economics'!$J33*'Sensitivity Ranges'!$F$43</f>
        <v>0</v>
      </c>
      <c r="AU114" s="109">
        <f>IF($AB$85=1,AJ114,X114)*'Selected Economics'!$J33*'Sensitivity Ranges'!$F$43</f>
        <v>0</v>
      </c>
      <c r="AV114" s="109">
        <f>IF($AB$85=1,AK114,Y114)*'Selected Economics'!$J33*'Sensitivity Ranges'!$F$43</f>
        <v>0</v>
      </c>
      <c r="AW114" s="109">
        <f t="shared" si="51"/>
        <v>0</v>
      </c>
      <c r="AX114" s="121"/>
      <c r="AY114" s="109">
        <f t="shared" si="57"/>
        <v>0</v>
      </c>
      <c r="AZ114" s="109">
        <f>AN114*Abandonment!$H38</f>
        <v>0</v>
      </c>
      <c r="BA114" s="109">
        <f>AO114*Abandonment!$H38</f>
        <v>0</v>
      </c>
      <c r="BB114" s="109">
        <f>AP114*Abandonment!$H38</f>
        <v>0</v>
      </c>
      <c r="BC114" s="109">
        <f>AQ114*Abandonment!$H38</f>
        <v>0</v>
      </c>
      <c r="BD114" s="109">
        <f>AR114*Abandonment!$H38</f>
        <v>0</v>
      </c>
      <c r="BE114" s="109">
        <f>AS114*Abandonment!$H38</f>
        <v>0</v>
      </c>
      <c r="BF114" s="109">
        <f>AT114*Abandonment!$H38</f>
        <v>0</v>
      </c>
      <c r="BG114" s="109">
        <f>AU114*Abandonment!$H38</f>
        <v>0</v>
      </c>
      <c r="BH114" s="109">
        <f>AV114*Abandonment!$H38</f>
        <v>0</v>
      </c>
      <c r="BI114" s="109">
        <f t="shared" si="52"/>
        <v>0</v>
      </c>
      <c r="BJ114" s="121"/>
      <c r="BK114" s="109">
        <f>AZ114+Exploration!R59</f>
        <v>0</v>
      </c>
      <c r="BL114" s="109">
        <f>AY114+(BA114+BB114+BC114+IF(Input!$B$17="Shore",0,Development!BD114)+BE114)*(1+'Cost Assumptions'!$O$101)+BF114</f>
        <v>0</v>
      </c>
      <c r="BM114" s="109">
        <f>IF(Input!$B$17="Shore",Development!BD114,0)*(1+'Cost Assumptions'!$O$101)+BG114</f>
        <v>0</v>
      </c>
      <c r="BN114" s="105"/>
      <c r="BO114" s="105"/>
      <c r="BP114" s="109">
        <f t="shared" si="37"/>
        <v>0</v>
      </c>
      <c r="BQ114" s="145"/>
      <c r="BR114" s="105"/>
      <c r="BS114" s="109">
        <f t="shared" ca="1" si="38"/>
        <v>0</v>
      </c>
      <c r="BT114" s="109">
        <f t="shared" ca="1" si="39"/>
        <v>0</v>
      </c>
      <c r="BU114" s="109">
        <f t="shared" ca="1" si="40"/>
        <v>0</v>
      </c>
      <c r="BV114" s="109">
        <f t="shared" ca="1" si="41"/>
        <v>0</v>
      </c>
      <c r="BW114" s="109">
        <f t="shared" ca="1" si="42"/>
        <v>0</v>
      </c>
      <c r="BX114" s="109">
        <f t="shared" ca="1" si="43"/>
        <v>0</v>
      </c>
      <c r="BY114" s="109">
        <f t="shared" ca="1" si="44"/>
        <v>0</v>
      </c>
      <c r="BZ114" s="109">
        <f t="shared" ca="1" si="45"/>
        <v>0</v>
      </c>
      <c r="CA114" s="109">
        <f t="shared" ca="1" si="46"/>
        <v>0</v>
      </c>
      <c r="CB114" s="109">
        <f t="shared" ca="1" si="47"/>
        <v>0</v>
      </c>
      <c r="CC114" s="109">
        <f t="shared" ca="1" si="53"/>
        <v>0</v>
      </c>
      <c r="CD114" s="109"/>
      <c r="CE114" s="109">
        <f t="shared" si="54"/>
        <v>0</v>
      </c>
    </row>
    <row r="115" spans="1:83">
      <c r="A115" s="90">
        <f t="shared" si="55"/>
        <v>2046</v>
      </c>
      <c r="B115" s="109">
        <f t="shared" si="32"/>
        <v>0</v>
      </c>
      <c r="C115" s="109">
        <f t="shared" si="59"/>
        <v>0</v>
      </c>
      <c r="D115" s="109">
        <f t="shared" si="59"/>
        <v>0</v>
      </c>
      <c r="E115" s="109">
        <f t="shared" si="59"/>
        <v>0</v>
      </c>
      <c r="F115" s="109">
        <f t="shared" si="59"/>
        <v>0</v>
      </c>
      <c r="G115" s="109">
        <f t="shared" si="59"/>
        <v>0</v>
      </c>
      <c r="H115" s="109">
        <f t="shared" si="59"/>
        <v>0</v>
      </c>
      <c r="I115" s="109">
        <f t="shared" si="59"/>
        <v>0</v>
      </c>
      <c r="J115" s="109">
        <f t="shared" si="59"/>
        <v>0</v>
      </c>
      <c r="K115" s="109">
        <f t="shared" si="59"/>
        <v>0</v>
      </c>
      <c r="L115" s="109">
        <f t="shared" si="59"/>
        <v>0</v>
      </c>
      <c r="M115" s="109">
        <f t="shared" si="59"/>
        <v>0</v>
      </c>
      <c r="N115" s="109">
        <f t="shared" si="59"/>
        <v>0</v>
      </c>
      <c r="O115" s="109">
        <f t="shared" si="59"/>
        <v>0</v>
      </c>
      <c r="P115" s="109">
        <f t="shared" si="59"/>
        <v>0</v>
      </c>
      <c r="Q115" s="109">
        <f t="shared" si="48"/>
        <v>0</v>
      </c>
      <c r="R115" s="109">
        <f t="shared" si="60"/>
        <v>0</v>
      </c>
      <c r="S115" s="109">
        <f t="shared" si="60"/>
        <v>0</v>
      </c>
      <c r="T115" s="109">
        <f t="shared" si="60"/>
        <v>0</v>
      </c>
      <c r="U115" s="109">
        <f t="shared" si="60"/>
        <v>0</v>
      </c>
      <c r="V115" s="109">
        <f>'Cost Assumptions'!$O$100*SUM(Development!R115:U115)</f>
        <v>0</v>
      </c>
      <c r="W115" s="109">
        <f t="shared" si="56"/>
        <v>0</v>
      </c>
      <c r="X115" s="109">
        <f t="shared" si="49"/>
        <v>0</v>
      </c>
      <c r="Y115" s="109">
        <f>'Cost Assumptions'!$O$101*SUM(Development!R115:V115)</f>
        <v>0</v>
      </c>
      <c r="Z115" s="109">
        <f t="shared" si="35"/>
        <v>0</v>
      </c>
      <c r="AA115" s="121"/>
      <c r="AB115" s="148">
        <f t="shared" si="36"/>
        <v>18</v>
      </c>
      <c r="AC115" s="387">
        <f>IF(OR($AB115=0,$AB115&gt;40),0,INDEX('Devel Overrides'!D$28:D$68,$AB115+1,1)*$AB$86+INDEX('Devel Overrides'!D$28:D$68,$AB115,1)*$AC$87)*'Devel Overrides'!$F$19</f>
        <v>0</v>
      </c>
      <c r="AD115" s="387">
        <f>IF(OR($AB115=0,$AB115&gt;40),0,INDEX('Devel Overrides'!E$28:E$68,$AB115+1,1)*$AB$86+INDEX('Devel Overrides'!E$28:E$68,$AB115,1)*$AC$87)*'Devel Overrides'!$F$19</f>
        <v>0</v>
      </c>
      <c r="AE115" s="387">
        <f>IF(OR($AB115=0,$AB115&gt;40),0,INDEX('Devel Overrides'!F$28:F$68,$AB115+1,1)*$AB$86+INDEX('Devel Overrides'!F$28:F$68,$AB115,1)*$AC$87)*'Devel Overrides'!$F$19</f>
        <v>0</v>
      </c>
      <c r="AF115" s="387">
        <f>IF(OR($AB115=0,$AB115&gt;40),0,INDEX('Devel Overrides'!G$28:G$68,$AB115+1,1)*$AB$86+INDEX('Devel Overrides'!G$28:G$68,$AB115,1)*$AC$87)*'Devel Overrides'!$F$19</f>
        <v>0</v>
      </c>
      <c r="AG115" s="387">
        <f>IF(OR($AB115=0,$AB115&gt;40),0,INDEX('Devel Overrides'!H$28:H$68,$AB115+1,1)*$AB$86+INDEX('Devel Overrides'!H$28:H$68,$AB115,1)*$AC$87)*'Devel Overrides'!$F$19</f>
        <v>0</v>
      </c>
      <c r="AH115" s="387">
        <f>IF(OR($AB115=0,$AB115&gt;40),0,INDEX('Devel Overrides'!I$28:I$68,$AB115+1,1)*$AB$86+INDEX('Devel Overrides'!I$28:I$68,$AB115,1)*$AC$87)*'Devel Overrides'!$F$19</f>
        <v>0</v>
      </c>
      <c r="AI115" s="387">
        <f>IF(OR($AB115=0,$AB115&gt;40),0,INDEX('Devel Overrides'!J$28:J$68,$AB115+1,1)*$AB$86+INDEX('Devel Overrides'!J$28:J$68,$AB115,1)*$AC$87)*'Devel Overrides'!$F$19</f>
        <v>0</v>
      </c>
      <c r="AJ115" s="387">
        <f>IF(OR($AB115=0,$AB115&gt;40),0,INDEX('Devel Overrides'!K$28:K$68,$AB115+1,1)*$AB$86+INDEX('Devel Overrides'!K$28:K$68,$AB115,1)*$AC$87)*'Devel Overrides'!$F$19</f>
        <v>0</v>
      </c>
      <c r="AK115" s="387">
        <f>IF(OR($AB115=0,$AB115&gt;40),0,INDEX('Devel Overrides'!L$28:L$68,$AB115+1,1)*$AB$86+INDEX('Devel Overrides'!L$28:L$68,$AB115,1)*$AC$87)*'Devel Overrides'!$F$19</f>
        <v>0</v>
      </c>
      <c r="AL115" s="64"/>
      <c r="AM115" s="109">
        <f>B115*'Selected Economics'!$J34*'Sensitivity Ranges'!$F$43</f>
        <v>0</v>
      </c>
      <c r="AN115" s="109">
        <f>IF($AB$85=1,AC115,Q115)*'Selected Economics'!$J34*'Sensitivity Ranges'!$F$43</f>
        <v>0</v>
      </c>
      <c r="AO115" s="109">
        <f>IF($AB$85=1,AD115,R115)*'Selected Economics'!$J34*'Sensitivity Ranges'!$F$43</f>
        <v>0</v>
      </c>
      <c r="AP115" s="109">
        <f>IF($AB$85=1,AE115,S115)*'Selected Economics'!$J34*'Sensitivity Ranges'!$F$43</f>
        <v>0</v>
      </c>
      <c r="AQ115" s="109">
        <f>IF($AB$85=1,AF115,T115)*'Selected Economics'!$J34*'Sensitivity Ranges'!$F$43</f>
        <v>0</v>
      </c>
      <c r="AR115" s="109">
        <f>IF($AB$85=1,AG115,U115)*'Selected Economics'!$J34*'Sensitivity Ranges'!$F$43</f>
        <v>0</v>
      </c>
      <c r="AS115" s="109">
        <f>IF($AB$85=1,AH115,V115)*'Selected Economics'!$J34*'Sensitivity Ranges'!$F$43</f>
        <v>0</v>
      </c>
      <c r="AT115" s="109">
        <f>IF($AB$85=1,AI115,W115)*'Selected Economics'!$J34*'Sensitivity Ranges'!$F$43</f>
        <v>0</v>
      </c>
      <c r="AU115" s="109">
        <f>IF($AB$85=1,AJ115,X115)*'Selected Economics'!$J34*'Sensitivity Ranges'!$F$43</f>
        <v>0</v>
      </c>
      <c r="AV115" s="109">
        <f>IF($AB$85=1,AK115,Y115)*'Selected Economics'!$J34*'Sensitivity Ranges'!$F$43</f>
        <v>0</v>
      </c>
      <c r="AW115" s="109">
        <f t="shared" si="51"/>
        <v>0</v>
      </c>
      <c r="AX115" s="121"/>
      <c r="AY115" s="109">
        <f t="shared" si="57"/>
        <v>0</v>
      </c>
      <c r="AZ115" s="109">
        <f>AN115*Abandonment!$H39</f>
        <v>0</v>
      </c>
      <c r="BA115" s="109">
        <f>AO115*Abandonment!$H39</f>
        <v>0</v>
      </c>
      <c r="BB115" s="109">
        <f>AP115*Abandonment!$H39</f>
        <v>0</v>
      </c>
      <c r="BC115" s="109">
        <f>AQ115*Abandonment!$H39</f>
        <v>0</v>
      </c>
      <c r="BD115" s="109">
        <f>AR115*Abandonment!$H39</f>
        <v>0</v>
      </c>
      <c r="BE115" s="109">
        <f>AS115*Abandonment!$H39</f>
        <v>0</v>
      </c>
      <c r="BF115" s="109">
        <f>AT115*Abandonment!$H39</f>
        <v>0</v>
      </c>
      <c r="BG115" s="109">
        <f>AU115*Abandonment!$H39</f>
        <v>0</v>
      </c>
      <c r="BH115" s="109">
        <f>AV115*Abandonment!$H39</f>
        <v>0</v>
      </c>
      <c r="BI115" s="109">
        <f t="shared" si="52"/>
        <v>0</v>
      </c>
      <c r="BJ115" s="121"/>
      <c r="BK115" s="109">
        <f>AZ115+Exploration!R60</f>
        <v>0</v>
      </c>
      <c r="BL115" s="109">
        <f>AY115+(BA115+BB115+BC115+IF(Input!$B$17="Shore",0,Development!BD115)+BE115)*(1+'Cost Assumptions'!$O$101)+BF115</f>
        <v>0</v>
      </c>
      <c r="BM115" s="109">
        <f>IF(Input!$B$17="Shore",Development!BD115,0)*(1+'Cost Assumptions'!$O$101)+BG115</f>
        <v>0</v>
      </c>
      <c r="BN115" s="105"/>
      <c r="BO115" s="105"/>
      <c r="BP115" s="109">
        <f t="shared" si="37"/>
        <v>0</v>
      </c>
      <c r="BQ115" s="145"/>
      <c r="BR115" s="105"/>
      <c r="BS115" s="109">
        <f t="shared" ca="1" si="38"/>
        <v>0</v>
      </c>
      <c r="BT115" s="109">
        <f t="shared" ca="1" si="39"/>
        <v>0</v>
      </c>
      <c r="BU115" s="109">
        <f t="shared" ca="1" si="40"/>
        <v>0</v>
      </c>
      <c r="BV115" s="109">
        <f t="shared" ca="1" si="41"/>
        <v>0</v>
      </c>
      <c r="BW115" s="109">
        <f t="shared" ca="1" si="42"/>
        <v>0</v>
      </c>
      <c r="BX115" s="109">
        <f t="shared" ca="1" si="43"/>
        <v>0</v>
      </c>
      <c r="BY115" s="109">
        <f t="shared" ca="1" si="44"/>
        <v>0</v>
      </c>
      <c r="BZ115" s="109">
        <f t="shared" ca="1" si="45"/>
        <v>0</v>
      </c>
      <c r="CA115" s="109">
        <f t="shared" ca="1" si="46"/>
        <v>0</v>
      </c>
      <c r="CB115" s="109">
        <f t="shared" ca="1" si="47"/>
        <v>0</v>
      </c>
      <c r="CC115" s="109">
        <f t="shared" ca="1" si="53"/>
        <v>0</v>
      </c>
      <c r="CD115" s="109"/>
      <c r="CE115" s="109">
        <f t="shared" si="54"/>
        <v>0</v>
      </c>
    </row>
    <row r="116" spans="1:83">
      <c r="A116" s="90">
        <f t="shared" si="55"/>
        <v>2047</v>
      </c>
      <c r="B116" s="109">
        <f t="shared" si="32"/>
        <v>0</v>
      </c>
      <c r="C116" s="109">
        <f t="shared" si="59"/>
        <v>0</v>
      </c>
      <c r="D116" s="109">
        <f t="shared" si="59"/>
        <v>0</v>
      </c>
      <c r="E116" s="109">
        <f t="shared" si="59"/>
        <v>0</v>
      </c>
      <c r="F116" s="109">
        <f t="shared" si="59"/>
        <v>0</v>
      </c>
      <c r="G116" s="109">
        <f t="shared" si="59"/>
        <v>0</v>
      </c>
      <c r="H116" s="109">
        <f t="shared" si="59"/>
        <v>0</v>
      </c>
      <c r="I116" s="109">
        <f t="shared" si="59"/>
        <v>0</v>
      </c>
      <c r="J116" s="109">
        <f t="shared" si="59"/>
        <v>0</v>
      </c>
      <c r="K116" s="109">
        <f t="shared" si="59"/>
        <v>0</v>
      </c>
      <c r="L116" s="109">
        <f t="shared" si="59"/>
        <v>0</v>
      </c>
      <c r="M116" s="109">
        <f t="shared" si="59"/>
        <v>0</v>
      </c>
      <c r="N116" s="109">
        <f t="shared" si="59"/>
        <v>0</v>
      </c>
      <c r="O116" s="109">
        <f t="shared" si="59"/>
        <v>0</v>
      </c>
      <c r="P116" s="109">
        <f t="shared" si="59"/>
        <v>0</v>
      </c>
      <c r="Q116" s="109">
        <f t="shared" si="48"/>
        <v>0</v>
      </c>
      <c r="R116" s="109">
        <f t="shared" si="60"/>
        <v>0</v>
      </c>
      <c r="S116" s="109">
        <f t="shared" si="60"/>
        <v>0</v>
      </c>
      <c r="T116" s="109">
        <f t="shared" si="60"/>
        <v>0</v>
      </c>
      <c r="U116" s="109">
        <f t="shared" si="60"/>
        <v>0</v>
      </c>
      <c r="V116" s="109">
        <f>'Cost Assumptions'!$O$100*SUM(Development!R116:U116)</f>
        <v>0</v>
      </c>
      <c r="W116" s="109">
        <f t="shared" si="56"/>
        <v>0</v>
      </c>
      <c r="X116" s="109">
        <f t="shared" si="49"/>
        <v>0</v>
      </c>
      <c r="Y116" s="109">
        <f>'Cost Assumptions'!$O$101*SUM(Development!R116:V116)</f>
        <v>0</v>
      </c>
      <c r="Z116" s="109">
        <f t="shared" si="35"/>
        <v>0</v>
      </c>
      <c r="AA116" s="121"/>
      <c r="AB116" s="148">
        <f t="shared" si="36"/>
        <v>19</v>
      </c>
      <c r="AC116" s="387">
        <f>IF(OR($AB116=0,$AB116&gt;40),0,INDEX('Devel Overrides'!D$28:D$68,$AB116+1,1)*$AB$86+INDEX('Devel Overrides'!D$28:D$68,$AB116,1)*$AC$87)*'Devel Overrides'!$F$19</f>
        <v>0</v>
      </c>
      <c r="AD116" s="387">
        <f>IF(OR($AB116=0,$AB116&gt;40),0,INDEX('Devel Overrides'!E$28:E$68,$AB116+1,1)*$AB$86+INDEX('Devel Overrides'!E$28:E$68,$AB116,1)*$AC$87)*'Devel Overrides'!$F$19</f>
        <v>0</v>
      </c>
      <c r="AE116" s="387">
        <f>IF(OR($AB116=0,$AB116&gt;40),0,INDEX('Devel Overrides'!F$28:F$68,$AB116+1,1)*$AB$86+INDEX('Devel Overrides'!F$28:F$68,$AB116,1)*$AC$87)*'Devel Overrides'!$F$19</f>
        <v>0</v>
      </c>
      <c r="AF116" s="387">
        <f>IF(OR($AB116=0,$AB116&gt;40),0,INDEX('Devel Overrides'!G$28:G$68,$AB116+1,1)*$AB$86+INDEX('Devel Overrides'!G$28:G$68,$AB116,1)*$AC$87)*'Devel Overrides'!$F$19</f>
        <v>0</v>
      </c>
      <c r="AG116" s="387">
        <f>IF(OR($AB116=0,$AB116&gt;40),0,INDEX('Devel Overrides'!H$28:H$68,$AB116+1,1)*$AB$86+INDEX('Devel Overrides'!H$28:H$68,$AB116,1)*$AC$87)*'Devel Overrides'!$F$19</f>
        <v>0</v>
      </c>
      <c r="AH116" s="387">
        <f>IF(OR($AB116=0,$AB116&gt;40),0,INDEX('Devel Overrides'!I$28:I$68,$AB116+1,1)*$AB$86+INDEX('Devel Overrides'!I$28:I$68,$AB116,1)*$AC$87)*'Devel Overrides'!$F$19</f>
        <v>0</v>
      </c>
      <c r="AI116" s="387">
        <f>IF(OR($AB116=0,$AB116&gt;40),0,INDEX('Devel Overrides'!J$28:J$68,$AB116+1,1)*$AB$86+INDEX('Devel Overrides'!J$28:J$68,$AB116,1)*$AC$87)*'Devel Overrides'!$F$19</f>
        <v>0</v>
      </c>
      <c r="AJ116" s="387">
        <f>IF(OR($AB116=0,$AB116&gt;40),0,INDEX('Devel Overrides'!K$28:K$68,$AB116+1,1)*$AB$86+INDEX('Devel Overrides'!K$28:K$68,$AB116,1)*$AC$87)*'Devel Overrides'!$F$19</f>
        <v>0</v>
      </c>
      <c r="AK116" s="387">
        <f>IF(OR($AB116=0,$AB116&gt;40),0,INDEX('Devel Overrides'!L$28:L$68,$AB116+1,1)*$AB$86+INDEX('Devel Overrides'!L$28:L$68,$AB116,1)*$AC$87)*'Devel Overrides'!$F$19</f>
        <v>0</v>
      </c>
      <c r="AL116" s="64"/>
      <c r="AM116" s="109">
        <f>B116*'Selected Economics'!$J35*'Sensitivity Ranges'!$F$43</f>
        <v>0</v>
      </c>
      <c r="AN116" s="109">
        <f>IF($AB$85=1,AC116,Q116)*'Selected Economics'!$J35*'Sensitivity Ranges'!$F$43</f>
        <v>0</v>
      </c>
      <c r="AO116" s="109">
        <f>IF($AB$85=1,AD116,R116)*'Selected Economics'!$J35*'Sensitivity Ranges'!$F$43</f>
        <v>0</v>
      </c>
      <c r="AP116" s="109">
        <f>IF($AB$85=1,AE116,S116)*'Selected Economics'!$J35*'Sensitivity Ranges'!$F$43</f>
        <v>0</v>
      </c>
      <c r="AQ116" s="109">
        <f>IF($AB$85=1,AF116,T116)*'Selected Economics'!$J35*'Sensitivity Ranges'!$F$43</f>
        <v>0</v>
      </c>
      <c r="AR116" s="109">
        <f>IF($AB$85=1,AG116,U116)*'Selected Economics'!$J35*'Sensitivity Ranges'!$F$43</f>
        <v>0</v>
      </c>
      <c r="AS116" s="109">
        <f>IF($AB$85=1,AH116,V116)*'Selected Economics'!$J35*'Sensitivity Ranges'!$F$43</f>
        <v>0</v>
      </c>
      <c r="AT116" s="109">
        <f>IF($AB$85=1,AI116,W116)*'Selected Economics'!$J35*'Sensitivity Ranges'!$F$43</f>
        <v>0</v>
      </c>
      <c r="AU116" s="109">
        <f>IF($AB$85=1,AJ116,X116)*'Selected Economics'!$J35*'Sensitivity Ranges'!$F$43</f>
        <v>0</v>
      </c>
      <c r="AV116" s="109">
        <f>IF($AB$85=1,AK116,Y116)*'Selected Economics'!$J35*'Sensitivity Ranges'!$F$43</f>
        <v>0</v>
      </c>
      <c r="AW116" s="109">
        <f t="shared" si="51"/>
        <v>0</v>
      </c>
      <c r="AX116" s="121"/>
      <c r="AY116" s="109">
        <f t="shared" si="57"/>
        <v>0</v>
      </c>
      <c r="AZ116" s="109">
        <f>AN116*Abandonment!$H40</f>
        <v>0</v>
      </c>
      <c r="BA116" s="109">
        <f>AO116*Abandonment!$H40</f>
        <v>0</v>
      </c>
      <c r="BB116" s="109">
        <f>AP116*Abandonment!$H40</f>
        <v>0</v>
      </c>
      <c r="BC116" s="109">
        <f>AQ116*Abandonment!$H40</f>
        <v>0</v>
      </c>
      <c r="BD116" s="109">
        <f>AR116*Abandonment!$H40</f>
        <v>0</v>
      </c>
      <c r="BE116" s="109">
        <f>AS116*Abandonment!$H40</f>
        <v>0</v>
      </c>
      <c r="BF116" s="109">
        <f>AT116*Abandonment!$H40</f>
        <v>0</v>
      </c>
      <c r="BG116" s="109">
        <f>AU116*Abandonment!$H40</f>
        <v>0</v>
      </c>
      <c r="BH116" s="109">
        <f>AV116*Abandonment!$H40</f>
        <v>0</v>
      </c>
      <c r="BI116" s="109">
        <f t="shared" si="52"/>
        <v>0</v>
      </c>
      <c r="BJ116" s="121"/>
      <c r="BK116" s="109">
        <f>AZ116+Exploration!R61</f>
        <v>0</v>
      </c>
      <c r="BL116" s="109">
        <f>AY116+(BA116+BB116+BC116+IF(Input!$B$17="Shore",0,Development!BD116)+BE116)*(1+'Cost Assumptions'!$O$101)+BF116</f>
        <v>0</v>
      </c>
      <c r="BM116" s="109">
        <f>IF(Input!$B$17="Shore",Development!BD116,0)*(1+'Cost Assumptions'!$O$101)+BG116</f>
        <v>0</v>
      </c>
      <c r="BN116" s="105"/>
      <c r="BO116" s="105"/>
      <c r="BP116" s="109">
        <f t="shared" si="37"/>
        <v>0</v>
      </c>
      <c r="BQ116" s="145"/>
      <c r="BR116" s="105"/>
      <c r="BS116" s="109">
        <f t="shared" ca="1" si="38"/>
        <v>0</v>
      </c>
      <c r="BT116" s="109">
        <f t="shared" ca="1" si="39"/>
        <v>0</v>
      </c>
      <c r="BU116" s="109">
        <f t="shared" ca="1" si="40"/>
        <v>0</v>
      </c>
      <c r="BV116" s="109">
        <f t="shared" ca="1" si="41"/>
        <v>0</v>
      </c>
      <c r="BW116" s="109">
        <f t="shared" ca="1" si="42"/>
        <v>0</v>
      </c>
      <c r="BX116" s="109">
        <f t="shared" ca="1" si="43"/>
        <v>0</v>
      </c>
      <c r="BY116" s="109">
        <f t="shared" ca="1" si="44"/>
        <v>0</v>
      </c>
      <c r="BZ116" s="109">
        <f t="shared" ca="1" si="45"/>
        <v>0</v>
      </c>
      <c r="CA116" s="109">
        <f t="shared" ca="1" si="46"/>
        <v>0</v>
      </c>
      <c r="CB116" s="109">
        <f t="shared" ca="1" si="47"/>
        <v>0</v>
      </c>
      <c r="CC116" s="109">
        <f t="shared" ca="1" si="53"/>
        <v>0</v>
      </c>
      <c r="CD116" s="109"/>
      <c r="CE116" s="109">
        <f t="shared" si="54"/>
        <v>0</v>
      </c>
    </row>
    <row r="117" spans="1:83">
      <c r="A117" s="90">
        <f t="shared" si="55"/>
        <v>2048</v>
      </c>
      <c r="B117" s="109">
        <f t="shared" si="32"/>
        <v>0</v>
      </c>
      <c r="C117" s="109">
        <f t="shared" si="59"/>
        <v>0</v>
      </c>
      <c r="D117" s="109">
        <f t="shared" si="59"/>
        <v>0</v>
      </c>
      <c r="E117" s="109">
        <f t="shared" si="59"/>
        <v>0</v>
      </c>
      <c r="F117" s="109">
        <f t="shared" si="59"/>
        <v>0</v>
      </c>
      <c r="G117" s="109">
        <f t="shared" si="59"/>
        <v>0</v>
      </c>
      <c r="H117" s="109">
        <f t="shared" si="59"/>
        <v>0</v>
      </c>
      <c r="I117" s="109">
        <f t="shared" si="59"/>
        <v>0</v>
      </c>
      <c r="J117" s="109">
        <f t="shared" si="59"/>
        <v>0</v>
      </c>
      <c r="K117" s="109">
        <f t="shared" si="59"/>
        <v>0</v>
      </c>
      <c r="L117" s="109">
        <f t="shared" si="59"/>
        <v>0</v>
      </c>
      <c r="M117" s="109">
        <f t="shared" si="59"/>
        <v>0</v>
      </c>
      <c r="N117" s="109">
        <f t="shared" si="59"/>
        <v>0</v>
      </c>
      <c r="O117" s="109">
        <f t="shared" si="59"/>
        <v>0</v>
      </c>
      <c r="P117" s="109">
        <f t="shared" si="59"/>
        <v>0</v>
      </c>
      <c r="Q117" s="109">
        <f t="shared" si="48"/>
        <v>0</v>
      </c>
      <c r="R117" s="109">
        <f t="shared" si="60"/>
        <v>0</v>
      </c>
      <c r="S117" s="109">
        <f t="shared" si="60"/>
        <v>0</v>
      </c>
      <c r="T117" s="109">
        <f t="shared" si="60"/>
        <v>0</v>
      </c>
      <c r="U117" s="109">
        <f t="shared" si="60"/>
        <v>0</v>
      </c>
      <c r="V117" s="109">
        <f>'Cost Assumptions'!$O$100*SUM(Development!R117:U117)</f>
        <v>0</v>
      </c>
      <c r="W117" s="109">
        <f t="shared" si="56"/>
        <v>0</v>
      </c>
      <c r="X117" s="109">
        <f t="shared" si="49"/>
        <v>0</v>
      </c>
      <c r="Y117" s="109">
        <f>'Cost Assumptions'!$O$101*SUM(Development!R117:V117)</f>
        <v>0</v>
      </c>
      <c r="Z117" s="109">
        <f t="shared" si="35"/>
        <v>0</v>
      </c>
      <c r="AA117" s="121"/>
      <c r="AB117" s="148">
        <f t="shared" si="36"/>
        <v>20</v>
      </c>
      <c r="AC117" s="387">
        <f>IF(OR($AB117=0,$AB117&gt;40),0,INDEX('Devel Overrides'!D$28:D$68,$AB117+1,1)*$AB$86+INDEX('Devel Overrides'!D$28:D$68,$AB117,1)*$AC$87)*'Devel Overrides'!$F$19</f>
        <v>0</v>
      </c>
      <c r="AD117" s="387">
        <f>IF(OR($AB117=0,$AB117&gt;40),0,INDEX('Devel Overrides'!E$28:E$68,$AB117+1,1)*$AB$86+INDEX('Devel Overrides'!E$28:E$68,$AB117,1)*$AC$87)*'Devel Overrides'!$F$19</f>
        <v>0</v>
      </c>
      <c r="AE117" s="387">
        <f>IF(OR($AB117=0,$AB117&gt;40),0,INDEX('Devel Overrides'!F$28:F$68,$AB117+1,1)*$AB$86+INDEX('Devel Overrides'!F$28:F$68,$AB117,1)*$AC$87)*'Devel Overrides'!$F$19</f>
        <v>0</v>
      </c>
      <c r="AF117" s="387">
        <f>IF(OR($AB117=0,$AB117&gt;40),0,INDEX('Devel Overrides'!G$28:G$68,$AB117+1,1)*$AB$86+INDEX('Devel Overrides'!G$28:G$68,$AB117,1)*$AC$87)*'Devel Overrides'!$F$19</f>
        <v>0</v>
      </c>
      <c r="AG117" s="387">
        <f>IF(OR($AB117=0,$AB117&gt;40),0,INDEX('Devel Overrides'!H$28:H$68,$AB117+1,1)*$AB$86+INDEX('Devel Overrides'!H$28:H$68,$AB117,1)*$AC$87)*'Devel Overrides'!$F$19</f>
        <v>0</v>
      </c>
      <c r="AH117" s="387">
        <f>IF(OR($AB117=0,$AB117&gt;40),0,INDEX('Devel Overrides'!I$28:I$68,$AB117+1,1)*$AB$86+INDEX('Devel Overrides'!I$28:I$68,$AB117,1)*$AC$87)*'Devel Overrides'!$F$19</f>
        <v>0</v>
      </c>
      <c r="AI117" s="387">
        <f>IF(OR($AB117=0,$AB117&gt;40),0,INDEX('Devel Overrides'!J$28:J$68,$AB117+1,1)*$AB$86+INDEX('Devel Overrides'!J$28:J$68,$AB117,1)*$AC$87)*'Devel Overrides'!$F$19</f>
        <v>0</v>
      </c>
      <c r="AJ117" s="387">
        <f>IF(OR($AB117=0,$AB117&gt;40),0,INDEX('Devel Overrides'!K$28:K$68,$AB117+1,1)*$AB$86+INDEX('Devel Overrides'!K$28:K$68,$AB117,1)*$AC$87)*'Devel Overrides'!$F$19</f>
        <v>0</v>
      </c>
      <c r="AK117" s="387">
        <f>IF(OR($AB117=0,$AB117&gt;40),0,INDEX('Devel Overrides'!L$28:L$68,$AB117+1,1)*$AB$86+INDEX('Devel Overrides'!L$28:L$68,$AB117,1)*$AC$87)*'Devel Overrides'!$F$19</f>
        <v>0</v>
      </c>
      <c r="AL117" s="64"/>
      <c r="AM117" s="109">
        <f>B117*'Selected Economics'!$J36*'Sensitivity Ranges'!$F$43</f>
        <v>0</v>
      </c>
      <c r="AN117" s="109">
        <f>IF($AB$85=1,AC117,Q117)*'Selected Economics'!$J36*'Sensitivity Ranges'!$F$43</f>
        <v>0</v>
      </c>
      <c r="AO117" s="109">
        <f>IF($AB$85=1,AD117,R117)*'Selected Economics'!$J36*'Sensitivity Ranges'!$F$43</f>
        <v>0</v>
      </c>
      <c r="AP117" s="109">
        <f>IF($AB$85=1,AE117,S117)*'Selected Economics'!$J36*'Sensitivity Ranges'!$F$43</f>
        <v>0</v>
      </c>
      <c r="AQ117" s="109">
        <f>IF($AB$85=1,AF117,T117)*'Selected Economics'!$J36*'Sensitivity Ranges'!$F$43</f>
        <v>0</v>
      </c>
      <c r="AR117" s="109">
        <f>IF($AB$85=1,AG117,U117)*'Selected Economics'!$J36*'Sensitivity Ranges'!$F$43</f>
        <v>0</v>
      </c>
      <c r="AS117" s="109">
        <f>IF($AB$85=1,AH117,V117)*'Selected Economics'!$J36*'Sensitivity Ranges'!$F$43</f>
        <v>0</v>
      </c>
      <c r="AT117" s="109">
        <f>IF($AB$85=1,AI117,W117)*'Selected Economics'!$J36*'Sensitivity Ranges'!$F$43</f>
        <v>0</v>
      </c>
      <c r="AU117" s="109">
        <f>IF($AB$85=1,AJ117,X117)*'Selected Economics'!$J36*'Sensitivity Ranges'!$F$43</f>
        <v>0</v>
      </c>
      <c r="AV117" s="109">
        <f>IF($AB$85=1,AK117,Y117)*'Selected Economics'!$J36*'Sensitivity Ranges'!$F$43</f>
        <v>0</v>
      </c>
      <c r="AW117" s="109">
        <f t="shared" si="51"/>
        <v>0</v>
      </c>
      <c r="AX117" s="121"/>
      <c r="AY117" s="109">
        <f t="shared" si="57"/>
        <v>0</v>
      </c>
      <c r="AZ117" s="109">
        <f>AN117*Abandonment!$H41</f>
        <v>0</v>
      </c>
      <c r="BA117" s="109">
        <f>AO117*Abandonment!$H41</f>
        <v>0</v>
      </c>
      <c r="BB117" s="109">
        <f>AP117*Abandonment!$H41</f>
        <v>0</v>
      </c>
      <c r="BC117" s="109">
        <f>AQ117*Abandonment!$H41</f>
        <v>0</v>
      </c>
      <c r="BD117" s="109">
        <f>AR117*Abandonment!$H41</f>
        <v>0</v>
      </c>
      <c r="BE117" s="109">
        <f>AS117*Abandonment!$H41</f>
        <v>0</v>
      </c>
      <c r="BF117" s="109">
        <f>AT117*Abandonment!$H41</f>
        <v>0</v>
      </c>
      <c r="BG117" s="109">
        <f>AU117*Abandonment!$H41</f>
        <v>0</v>
      </c>
      <c r="BH117" s="109">
        <f>AV117*Abandonment!$H41</f>
        <v>0</v>
      </c>
      <c r="BI117" s="109">
        <f t="shared" si="52"/>
        <v>0</v>
      </c>
      <c r="BJ117" s="121"/>
      <c r="BK117" s="109">
        <f>AZ117+Exploration!R62</f>
        <v>0</v>
      </c>
      <c r="BL117" s="109">
        <f>AY117+(BA117+BB117+BC117+IF(Input!$B$17="Shore",0,Development!BD117)+BE117)*(1+'Cost Assumptions'!$O$101)+BF117</f>
        <v>0</v>
      </c>
      <c r="BM117" s="109">
        <f>IF(Input!$B$17="Shore",Development!BD117,0)*(1+'Cost Assumptions'!$O$101)+BG117</f>
        <v>0</v>
      </c>
      <c r="BN117" s="105"/>
      <c r="BO117" s="105"/>
      <c r="BP117" s="109">
        <f t="shared" si="37"/>
        <v>0</v>
      </c>
      <c r="BQ117" s="145"/>
      <c r="BR117" s="105"/>
      <c r="BS117" s="109">
        <f t="shared" ca="1" si="38"/>
        <v>0</v>
      </c>
      <c r="BT117" s="109">
        <f t="shared" ca="1" si="39"/>
        <v>0</v>
      </c>
      <c r="BU117" s="109">
        <f t="shared" ca="1" si="40"/>
        <v>0</v>
      </c>
      <c r="BV117" s="109">
        <f t="shared" ca="1" si="41"/>
        <v>0</v>
      </c>
      <c r="BW117" s="109">
        <f t="shared" ca="1" si="42"/>
        <v>0</v>
      </c>
      <c r="BX117" s="109">
        <f t="shared" ca="1" si="43"/>
        <v>0</v>
      </c>
      <c r="BY117" s="109">
        <f t="shared" ca="1" si="44"/>
        <v>0</v>
      </c>
      <c r="BZ117" s="109">
        <f t="shared" ca="1" si="45"/>
        <v>0</v>
      </c>
      <c r="CA117" s="109">
        <f t="shared" ca="1" si="46"/>
        <v>0</v>
      </c>
      <c r="CB117" s="109">
        <f t="shared" ca="1" si="47"/>
        <v>0</v>
      </c>
      <c r="CC117" s="109">
        <f t="shared" ca="1" si="53"/>
        <v>0</v>
      </c>
      <c r="CD117" s="109"/>
      <c r="CE117" s="109">
        <f t="shared" si="54"/>
        <v>0</v>
      </c>
    </row>
    <row r="118" spans="1:83">
      <c r="A118" s="90">
        <f t="shared" si="55"/>
        <v>2049</v>
      </c>
      <c r="B118" s="109">
        <f t="shared" si="32"/>
        <v>0</v>
      </c>
      <c r="C118" s="109">
        <f t="shared" si="59"/>
        <v>0</v>
      </c>
      <c r="D118" s="109">
        <f t="shared" si="59"/>
        <v>0</v>
      </c>
      <c r="E118" s="109">
        <f t="shared" si="59"/>
        <v>0</v>
      </c>
      <c r="F118" s="109">
        <f t="shared" si="59"/>
        <v>0</v>
      </c>
      <c r="G118" s="109">
        <f t="shared" si="59"/>
        <v>0</v>
      </c>
      <c r="H118" s="109">
        <f t="shared" si="59"/>
        <v>0</v>
      </c>
      <c r="I118" s="109">
        <f t="shared" si="59"/>
        <v>0</v>
      </c>
      <c r="J118" s="109">
        <f t="shared" si="59"/>
        <v>0</v>
      </c>
      <c r="K118" s="109">
        <f t="shared" si="59"/>
        <v>0</v>
      </c>
      <c r="L118" s="109">
        <f t="shared" si="59"/>
        <v>0</v>
      </c>
      <c r="M118" s="109">
        <f t="shared" si="59"/>
        <v>0</v>
      </c>
      <c r="N118" s="109">
        <f t="shared" si="59"/>
        <v>0</v>
      </c>
      <c r="O118" s="109">
        <f t="shared" si="59"/>
        <v>0</v>
      </c>
      <c r="P118" s="109">
        <f t="shared" si="59"/>
        <v>0</v>
      </c>
      <c r="Q118" s="109">
        <f t="shared" si="48"/>
        <v>0</v>
      </c>
      <c r="R118" s="109">
        <f t="shared" si="60"/>
        <v>0</v>
      </c>
      <c r="S118" s="109">
        <f t="shared" si="60"/>
        <v>0</v>
      </c>
      <c r="T118" s="109">
        <f t="shared" si="60"/>
        <v>0</v>
      </c>
      <c r="U118" s="109">
        <f t="shared" si="60"/>
        <v>0</v>
      </c>
      <c r="V118" s="109">
        <f>'Cost Assumptions'!$O$100*SUM(Development!R118:U118)</f>
        <v>0</v>
      </c>
      <c r="W118" s="109">
        <f t="shared" si="56"/>
        <v>0</v>
      </c>
      <c r="X118" s="109">
        <f t="shared" si="49"/>
        <v>0</v>
      </c>
      <c r="Y118" s="109">
        <f>'Cost Assumptions'!$O$101*SUM(Development!R118:V118)</f>
        <v>0</v>
      </c>
      <c r="Z118" s="109">
        <f t="shared" si="35"/>
        <v>0</v>
      </c>
      <c r="AA118" s="121"/>
      <c r="AB118" s="148">
        <f t="shared" si="36"/>
        <v>21</v>
      </c>
      <c r="AC118" s="387">
        <f>IF(OR($AB118=0,$AB118&gt;40),0,INDEX('Devel Overrides'!D$28:D$68,$AB118+1,1)*$AB$86+INDEX('Devel Overrides'!D$28:D$68,$AB118,1)*$AC$87)*'Devel Overrides'!$F$19</f>
        <v>0</v>
      </c>
      <c r="AD118" s="387">
        <f>IF(OR($AB118=0,$AB118&gt;40),0,INDEX('Devel Overrides'!E$28:E$68,$AB118+1,1)*$AB$86+INDEX('Devel Overrides'!E$28:E$68,$AB118,1)*$AC$87)*'Devel Overrides'!$F$19</f>
        <v>0</v>
      </c>
      <c r="AE118" s="387">
        <f>IF(OR($AB118=0,$AB118&gt;40),0,INDEX('Devel Overrides'!F$28:F$68,$AB118+1,1)*$AB$86+INDEX('Devel Overrides'!F$28:F$68,$AB118,1)*$AC$87)*'Devel Overrides'!$F$19</f>
        <v>0</v>
      </c>
      <c r="AF118" s="387">
        <f>IF(OR($AB118=0,$AB118&gt;40),0,INDEX('Devel Overrides'!G$28:G$68,$AB118+1,1)*$AB$86+INDEX('Devel Overrides'!G$28:G$68,$AB118,1)*$AC$87)*'Devel Overrides'!$F$19</f>
        <v>0</v>
      </c>
      <c r="AG118" s="387">
        <f>IF(OR($AB118=0,$AB118&gt;40),0,INDEX('Devel Overrides'!H$28:H$68,$AB118+1,1)*$AB$86+INDEX('Devel Overrides'!H$28:H$68,$AB118,1)*$AC$87)*'Devel Overrides'!$F$19</f>
        <v>0</v>
      </c>
      <c r="AH118" s="387">
        <f>IF(OR($AB118=0,$AB118&gt;40),0,INDEX('Devel Overrides'!I$28:I$68,$AB118+1,1)*$AB$86+INDEX('Devel Overrides'!I$28:I$68,$AB118,1)*$AC$87)*'Devel Overrides'!$F$19</f>
        <v>0</v>
      </c>
      <c r="AI118" s="387">
        <f>IF(OR($AB118=0,$AB118&gt;40),0,INDEX('Devel Overrides'!J$28:J$68,$AB118+1,1)*$AB$86+INDEX('Devel Overrides'!J$28:J$68,$AB118,1)*$AC$87)*'Devel Overrides'!$F$19</f>
        <v>0</v>
      </c>
      <c r="AJ118" s="387">
        <f>IF(OR($AB118=0,$AB118&gt;40),0,INDEX('Devel Overrides'!K$28:K$68,$AB118+1,1)*$AB$86+INDEX('Devel Overrides'!K$28:K$68,$AB118,1)*$AC$87)*'Devel Overrides'!$F$19</f>
        <v>0</v>
      </c>
      <c r="AK118" s="387">
        <f>IF(OR($AB118=0,$AB118&gt;40),0,INDEX('Devel Overrides'!L$28:L$68,$AB118+1,1)*$AB$86+INDEX('Devel Overrides'!L$28:L$68,$AB118,1)*$AC$87)*'Devel Overrides'!$F$19</f>
        <v>0</v>
      </c>
      <c r="AL118" s="64"/>
      <c r="AM118" s="109">
        <f>B118*'Selected Economics'!$J37*'Sensitivity Ranges'!$F$43</f>
        <v>0</v>
      </c>
      <c r="AN118" s="109">
        <f>IF($AB$85=1,AC118,Q118)*'Selected Economics'!$J37*'Sensitivity Ranges'!$F$43</f>
        <v>0</v>
      </c>
      <c r="AO118" s="109">
        <f>IF($AB$85=1,AD118,R118)*'Selected Economics'!$J37*'Sensitivity Ranges'!$F$43</f>
        <v>0</v>
      </c>
      <c r="AP118" s="109">
        <f>IF($AB$85=1,AE118,S118)*'Selected Economics'!$J37*'Sensitivity Ranges'!$F$43</f>
        <v>0</v>
      </c>
      <c r="AQ118" s="109">
        <f>IF($AB$85=1,AF118,T118)*'Selected Economics'!$J37*'Sensitivity Ranges'!$F$43</f>
        <v>0</v>
      </c>
      <c r="AR118" s="109">
        <f>IF($AB$85=1,AG118,U118)*'Selected Economics'!$J37*'Sensitivity Ranges'!$F$43</f>
        <v>0</v>
      </c>
      <c r="AS118" s="109">
        <f>IF($AB$85=1,AH118,V118)*'Selected Economics'!$J37*'Sensitivity Ranges'!$F$43</f>
        <v>0</v>
      </c>
      <c r="AT118" s="109">
        <f>IF($AB$85=1,AI118,W118)*'Selected Economics'!$J37*'Sensitivity Ranges'!$F$43</f>
        <v>0</v>
      </c>
      <c r="AU118" s="109">
        <f>IF($AB$85=1,AJ118,X118)*'Selected Economics'!$J37*'Sensitivity Ranges'!$F$43</f>
        <v>0</v>
      </c>
      <c r="AV118" s="109">
        <f>IF($AB$85=1,AK118,Y118)*'Selected Economics'!$J37*'Sensitivity Ranges'!$F$43</f>
        <v>0</v>
      </c>
      <c r="AW118" s="109">
        <f t="shared" si="51"/>
        <v>0</v>
      </c>
      <c r="AX118" s="121"/>
      <c r="AY118" s="109">
        <f t="shared" si="57"/>
        <v>0</v>
      </c>
      <c r="AZ118" s="109">
        <f>AN118*Abandonment!$H42</f>
        <v>0</v>
      </c>
      <c r="BA118" s="109">
        <f>AO118*Abandonment!$H42</f>
        <v>0</v>
      </c>
      <c r="BB118" s="109">
        <f>AP118*Abandonment!$H42</f>
        <v>0</v>
      </c>
      <c r="BC118" s="109">
        <f>AQ118*Abandonment!$H42</f>
        <v>0</v>
      </c>
      <c r="BD118" s="109">
        <f>AR118*Abandonment!$H42</f>
        <v>0</v>
      </c>
      <c r="BE118" s="109">
        <f>AS118*Abandonment!$H42</f>
        <v>0</v>
      </c>
      <c r="BF118" s="109">
        <f>AT118*Abandonment!$H42</f>
        <v>0</v>
      </c>
      <c r="BG118" s="109">
        <f>AU118*Abandonment!$H42</f>
        <v>0</v>
      </c>
      <c r="BH118" s="109">
        <f>AV118*Abandonment!$H42</f>
        <v>0</v>
      </c>
      <c r="BI118" s="109">
        <f t="shared" si="52"/>
        <v>0</v>
      </c>
      <c r="BJ118" s="121"/>
      <c r="BK118" s="109">
        <f>AZ118+Exploration!R63</f>
        <v>0</v>
      </c>
      <c r="BL118" s="109">
        <f>AY118+(BA118+BB118+BC118+IF(Input!$B$17="Shore",0,Development!BD118)+BE118)*(1+'Cost Assumptions'!$O$101)+BF118</f>
        <v>0</v>
      </c>
      <c r="BM118" s="109">
        <f>IF(Input!$B$17="Shore",Development!BD118,0)*(1+'Cost Assumptions'!$O$101)+BG118</f>
        <v>0</v>
      </c>
      <c r="BN118" s="105"/>
      <c r="BO118" s="105"/>
      <c r="BP118" s="109">
        <f t="shared" si="37"/>
        <v>0</v>
      </c>
      <c r="BQ118" s="145"/>
      <c r="BR118" s="105"/>
      <c r="BS118" s="109">
        <f t="shared" ca="1" si="38"/>
        <v>0</v>
      </c>
      <c r="BT118" s="109">
        <f t="shared" ca="1" si="39"/>
        <v>0</v>
      </c>
      <c r="BU118" s="109">
        <f t="shared" ca="1" si="40"/>
        <v>0</v>
      </c>
      <c r="BV118" s="109">
        <f t="shared" ca="1" si="41"/>
        <v>0</v>
      </c>
      <c r="BW118" s="109">
        <f t="shared" ca="1" si="42"/>
        <v>0</v>
      </c>
      <c r="BX118" s="109">
        <f t="shared" ca="1" si="43"/>
        <v>0</v>
      </c>
      <c r="BY118" s="109">
        <f t="shared" ca="1" si="44"/>
        <v>0</v>
      </c>
      <c r="BZ118" s="109">
        <f t="shared" ca="1" si="45"/>
        <v>0</v>
      </c>
      <c r="CA118" s="109">
        <f t="shared" ca="1" si="46"/>
        <v>0</v>
      </c>
      <c r="CB118" s="109">
        <f t="shared" ca="1" si="47"/>
        <v>0</v>
      </c>
      <c r="CC118" s="109">
        <f t="shared" ca="1" si="53"/>
        <v>0</v>
      </c>
      <c r="CD118" s="109"/>
      <c r="CE118" s="109">
        <f t="shared" si="54"/>
        <v>0</v>
      </c>
    </row>
    <row r="119" spans="1:83">
      <c r="A119" s="90">
        <f t="shared" si="55"/>
        <v>2050</v>
      </c>
      <c r="B119" s="109">
        <f t="shared" si="32"/>
        <v>0</v>
      </c>
      <c r="C119" s="109">
        <f t="shared" si="59"/>
        <v>0</v>
      </c>
      <c r="D119" s="109">
        <f t="shared" si="59"/>
        <v>0</v>
      </c>
      <c r="E119" s="109">
        <f t="shared" si="59"/>
        <v>0</v>
      </c>
      <c r="F119" s="109">
        <f t="shared" si="59"/>
        <v>0</v>
      </c>
      <c r="G119" s="109">
        <f t="shared" si="59"/>
        <v>0</v>
      </c>
      <c r="H119" s="109">
        <f t="shared" si="59"/>
        <v>0</v>
      </c>
      <c r="I119" s="109">
        <f t="shared" si="59"/>
        <v>0</v>
      </c>
      <c r="J119" s="109">
        <f t="shared" si="59"/>
        <v>0</v>
      </c>
      <c r="K119" s="109">
        <f t="shared" si="59"/>
        <v>0</v>
      </c>
      <c r="L119" s="109">
        <f t="shared" si="59"/>
        <v>0</v>
      </c>
      <c r="M119" s="109">
        <f t="shared" si="59"/>
        <v>0</v>
      </c>
      <c r="N119" s="109">
        <f t="shared" si="59"/>
        <v>0</v>
      </c>
      <c r="O119" s="109">
        <f t="shared" si="59"/>
        <v>0</v>
      </c>
      <c r="P119" s="109">
        <f t="shared" si="59"/>
        <v>0</v>
      </c>
      <c r="Q119" s="109">
        <f t="shared" si="48"/>
        <v>0</v>
      </c>
      <c r="R119" s="109">
        <f t="shared" si="60"/>
        <v>0</v>
      </c>
      <c r="S119" s="109">
        <f t="shared" si="60"/>
        <v>0</v>
      </c>
      <c r="T119" s="109">
        <f t="shared" si="60"/>
        <v>0</v>
      </c>
      <c r="U119" s="109">
        <f t="shared" si="60"/>
        <v>0</v>
      </c>
      <c r="V119" s="109">
        <f>'Cost Assumptions'!$O$100*SUM(Development!R119:U119)</f>
        <v>0</v>
      </c>
      <c r="W119" s="109">
        <f t="shared" si="56"/>
        <v>0</v>
      </c>
      <c r="X119" s="109">
        <f t="shared" si="49"/>
        <v>0</v>
      </c>
      <c r="Y119" s="109">
        <f>'Cost Assumptions'!$O$101*SUM(Development!R119:V119)</f>
        <v>0</v>
      </c>
      <c r="Z119" s="109">
        <f t="shared" si="35"/>
        <v>0</v>
      </c>
      <c r="AA119" s="121"/>
      <c r="AB119" s="148">
        <f t="shared" si="36"/>
        <v>22</v>
      </c>
      <c r="AC119" s="387">
        <f>IF(OR($AB119=0,$AB119&gt;40),0,INDEX('Devel Overrides'!D$28:D$68,$AB119+1,1)*$AB$86+INDEX('Devel Overrides'!D$28:D$68,$AB119,1)*$AC$87)*'Devel Overrides'!$F$19</f>
        <v>0</v>
      </c>
      <c r="AD119" s="387">
        <f>IF(OR($AB119=0,$AB119&gt;40),0,INDEX('Devel Overrides'!E$28:E$68,$AB119+1,1)*$AB$86+INDEX('Devel Overrides'!E$28:E$68,$AB119,1)*$AC$87)*'Devel Overrides'!$F$19</f>
        <v>0</v>
      </c>
      <c r="AE119" s="387">
        <f>IF(OR($AB119=0,$AB119&gt;40),0,INDEX('Devel Overrides'!F$28:F$68,$AB119+1,1)*$AB$86+INDEX('Devel Overrides'!F$28:F$68,$AB119,1)*$AC$87)*'Devel Overrides'!$F$19</f>
        <v>0</v>
      </c>
      <c r="AF119" s="387">
        <f>IF(OR($AB119=0,$AB119&gt;40),0,INDEX('Devel Overrides'!G$28:G$68,$AB119+1,1)*$AB$86+INDEX('Devel Overrides'!G$28:G$68,$AB119,1)*$AC$87)*'Devel Overrides'!$F$19</f>
        <v>0</v>
      </c>
      <c r="AG119" s="387">
        <f>IF(OR($AB119=0,$AB119&gt;40),0,INDEX('Devel Overrides'!H$28:H$68,$AB119+1,1)*$AB$86+INDEX('Devel Overrides'!H$28:H$68,$AB119,1)*$AC$87)*'Devel Overrides'!$F$19</f>
        <v>0</v>
      </c>
      <c r="AH119" s="387">
        <f>IF(OR($AB119=0,$AB119&gt;40),0,INDEX('Devel Overrides'!I$28:I$68,$AB119+1,1)*$AB$86+INDEX('Devel Overrides'!I$28:I$68,$AB119,1)*$AC$87)*'Devel Overrides'!$F$19</f>
        <v>0</v>
      </c>
      <c r="AI119" s="387">
        <f>IF(OR($AB119=0,$AB119&gt;40),0,INDEX('Devel Overrides'!J$28:J$68,$AB119+1,1)*$AB$86+INDEX('Devel Overrides'!J$28:J$68,$AB119,1)*$AC$87)*'Devel Overrides'!$F$19</f>
        <v>0</v>
      </c>
      <c r="AJ119" s="387">
        <f>IF(OR($AB119=0,$AB119&gt;40),0,INDEX('Devel Overrides'!K$28:K$68,$AB119+1,1)*$AB$86+INDEX('Devel Overrides'!K$28:K$68,$AB119,1)*$AC$87)*'Devel Overrides'!$F$19</f>
        <v>0</v>
      </c>
      <c r="AK119" s="387">
        <f>IF(OR($AB119=0,$AB119&gt;40),0,INDEX('Devel Overrides'!L$28:L$68,$AB119+1,1)*$AB$86+INDEX('Devel Overrides'!L$28:L$68,$AB119,1)*$AC$87)*'Devel Overrides'!$F$19</f>
        <v>0</v>
      </c>
      <c r="AL119" s="64"/>
      <c r="AM119" s="109">
        <f>B119*'Selected Economics'!$J38*'Sensitivity Ranges'!$F$43</f>
        <v>0</v>
      </c>
      <c r="AN119" s="109">
        <f>IF($AB$85=1,AC119,Q119)*'Selected Economics'!$J38*'Sensitivity Ranges'!$F$43</f>
        <v>0</v>
      </c>
      <c r="AO119" s="109">
        <f>IF($AB$85=1,AD119,R119)*'Selected Economics'!$J38*'Sensitivity Ranges'!$F$43</f>
        <v>0</v>
      </c>
      <c r="AP119" s="109">
        <f>IF($AB$85=1,AE119,S119)*'Selected Economics'!$J38*'Sensitivity Ranges'!$F$43</f>
        <v>0</v>
      </c>
      <c r="AQ119" s="109">
        <f>IF($AB$85=1,AF119,T119)*'Selected Economics'!$J38*'Sensitivity Ranges'!$F$43</f>
        <v>0</v>
      </c>
      <c r="AR119" s="109">
        <f>IF($AB$85=1,AG119,U119)*'Selected Economics'!$J38*'Sensitivity Ranges'!$F$43</f>
        <v>0</v>
      </c>
      <c r="AS119" s="109">
        <f>IF($AB$85=1,AH119,V119)*'Selected Economics'!$J38*'Sensitivity Ranges'!$F$43</f>
        <v>0</v>
      </c>
      <c r="AT119" s="109">
        <f>IF($AB$85=1,AI119,W119)*'Selected Economics'!$J38*'Sensitivity Ranges'!$F$43</f>
        <v>0</v>
      </c>
      <c r="AU119" s="109">
        <f>IF($AB$85=1,AJ119,X119)*'Selected Economics'!$J38*'Sensitivity Ranges'!$F$43</f>
        <v>0</v>
      </c>
      <c r="AV119" s="109">
        <f>IF($AB$85=1,AK119,Y119)*'Selected Economics'!$J38*'Sensitivity Ranges'!$F$43</f>
        <v>0</v>
      </c>
      <c r="AW119" s="109">
        <f t="shared" si="51"/>
        <v>0</v>
      </c>
      <c r="AX119" s="121"/>
      <c r="AY119" s="109">
        <f t="shared" si="57"/>
        <v>0</v>
      </c>
      <c r="AZ119" s="109">
        <f>AN119*Abandonment!$H43</f>
        <v>0</v>
      </c>
      <c r="BA119" s="109">
        <f>AO119*Abandonment!$H43</f>
        <v>0</v>
      </c>
      <c r="BB119" s="109">
        <f>AP119*Abandonment!$H43</f>
        <v>0</v>
      </c>
      <c r="BC119" s="109">
        <f>AQ119*Abandonment!$H43</f>
        <v>0</v>
      </c>
      <c r="BD119" s="109">
        <f>AR119*Abandonment!$H43</f>
        <v>0</v>
      </c>
      <c r="BE119" s="109">
        <f>AS119*Abandonment!$H43</f>
        <v>0</v>
      </c>
      <c r="BF119" s="109">
        <f>AT119*Abandonment!$H43</f>
        <v>0</v>
      </c>
      <c r="BG119" s="109">
        <f>AU119*Abandonment!$H43</f>
        <v>0</v>
      </c>
      <c r="BH119" s="109">
        <f>AV119*Abandonment!$H43</f>
        <v>0</v>
      </c>
      <c r="BI119" s="109">
        <f t="shared" si="52"/>
        <v>0</v>
      </c>
      <c r="BJ119" s="121"/>
      <c r="BK119" s="109">
        <f>AZ119+Exploration!R64</f>
        <v>0</v>
      </c>
      <c r="BL119" s="109">
        <f>AY119+(BA119+BB119+BC119+IF(Input!$B$17="Shore",0,Development!BD119)+BE119)*(1+'Cost Assumptions'!$O$101)+BF119</f>
        <v>0</v>
      </c>
      <c r="BM119" s="109">
        <f>IF(Input!$B$17="Shore",Development!BD119,0)*(1+'Cost Assumptions'!$O$101)+BG119</f>
        <v>0</v>
      </c>
      <c r="BN119" s="105"/>
      <c r="BO119" s="105"/>
      <c r="BP119" s="109">
        <f t="shared" si="37"/>
        <v>0</v>
      </c>
      <c r="BQ119" s="145"/>
      <c r="BR119" s="105"/>
      <c r="BS119" s="109">
        <f t="shared" ca="1" si="38"/>
        <v>0</v>
      </c>
      <c r="BT119" s="109">
        <f t="shared" ca="1" si="39"/>
        <v>0</v>
      </c>
      <c r="BU119" s="109">
        <f t="shared" ca="1" si="40"/>
        <v>0</v>
      </c>
      <c r="BV119" s="109">
        <f t="shared" ca="1" si="41"/>
        <v>0</v>
      </c>
      <c r="BW119" s="109">
        <f t="shared" ca="1" si="42"/>
        <v>0</v>
      </c>
      <c r="BX119" s="109">
        <f t="shared" ca="1" si="43"/>
        <v>0</v>
      </c>
      <c r="BY119" s="109">
        <f t="shared" ca="1" si="44"/>
        <v>0</v>
      </c>
      <c r="BZ119" s="109">
        <f t="shared" ca="1" si="45"/>
        <v>0</v>
      </c>
      <c r="CA119" s="109">
        <f t="shared" ca="1" si="46"/>
        <v>0</v>
      </c>
      <c r="CB119" s="109">
        <f t="shared" ca="1" si="47"/>
        <v>0</v>
      </c>
      <c r="CC119" s="109">
        <f t="shared" ca="1" si="53"/>
        <v>0</v>
      </c>
      <c r="CD119" s="109"/>
      <c r="CE119" s="109">
        <f t="shared" si="54"/>
        <v>0</v>
      </c>
    </row>
    <row r="120" spans="1:83">
      <c r="A120" s="90">
        <f t="shared" si="55"/>
        <v>2051</v>
      </c>
      <c r="B120" s="109">
        <f t="shared" si="32"/>
        <v>0</v>
      </c>
      <c r="C120" s="109">
        <f t="shared" si="59"/>
        <v>0</v>
      </c>
      <c r="D120" s="109">
        <f t="shared" si="59"/>
        <v>0</v>
      </c>
      <c r="E120" s="109">
        <f t="shared" si="59"/>
        <v>0</v>
      </c>
      <c r="F120" s="109">
        <f t="shared" si="59"/>
        <v>0</v>
      </c>
      <c r="G120" s="109">
        <f t="shared" si="59"/>
        <v>0</v>
      </c>
      <c r="H120" s="109">
        <f t="shared" si="59"/>
        <v>0</v>
      </c>
      <c r="I120" s="109">
        <f t="shared" si="59"/>
        <v>0</v>
      </c>
      <c r="J120" s="109">
        <f t="shared" si="59"/>
        <v>0</v>
      </c>
      <c r="K120" s="109">
        <f t="shared" si="59"/>
        <v>0</v>
      </c>
      <c r="L120" s="109">
        <f t="shared" si="59"/>
        <v>0</v>
      </c>
      <c r="M120" s="109">
        <f t="shared" si="59"/>
        <v>0</v>
      </c>
      <c r="N120" s="109">
        <f t="shared" si="59"/>
        <v>0</v>
      </c>
      <c r="O120" s="109">
        <f t="shared" si="59"/>
        <v>0</v>
      </c>
      <c r="P120" s="109">
        <f t="shared" si="59"/>
        <v>0</v>
      </c>
      <c r="Q120" s="109">
        <f t="shared" si="48"/>
        <v>0</v>
      </c>
      <c r="R120" s="109">
        <f t="shared" si="60"/>
        <v>0</v>
      </c>
      <c r="S120" s="109">
        <f t="shared" si="60"/>
        <v>0</v>
      </c>
      <c r="T120" s="109">
        <f t="shared" si="60"/>
        <v>0</v>
      </c>
      <c r="U120" s="109">
        <f t="shared" si="60"/>
        <v>0</v>
      </c>
      <c r="V120" s="109">
        <f>'Cost Assumptions'!$O$100*SUM(Development!R120:U120)</f>
        <v>0</v>
      </c>
      <c r="W120" s="109">
        <f t="shared" si="56"/>
        <v>0</v>
      </c>
      <c r="X120" s="109">
        <f t="shared" si="49"/>
        <v>0</v>
      </c>
      <c r="Y120" s="109">
        <f>'Cost Assumptions'!$O$101*SUM(Development!R120:V120)</f>
        <v>0</v>
      </c>
      <c r="Z120" s="109">
        <f t="shared" si="35"/>
        <v>0</v>
      </c>
      <c r="AA120" s="121"/>
      <c r="AB120" s="148">
        <f t="shared" si="36"/>
        <v>23</v>
      </c>
      <c r="AC120" s="387">
        <f>IF(OR($AB120=0,$AB120&gt;40),0,INDEX('Devel Overrides'!D$28:D$68,$AB120+1,1)*$AB$86+INDEX('Devel Overrides'!D$28:D$68,$AB120,1)*$AC$87)*'Devel Overrides'!$F$19</f>
        <v>0</v>
      </c>
      <c r="AD120" s="387">
        <f>IF(OR($AB120=0,$AB120&gt;40),0,INDEX('Devel Overrides'!E$28:E$68,$AB120+1,1)*$AB$86+INDEX('Devel Overrides'!E$28:E$68,$AB120,1)*$AC$87)*'Devel Overrides'!$F$19</f>
        <v>0</v>
      </c>
      <c r="AE120" s="387">
        <f>IF(OR($AB120=0,$AB120&gt;40),0,INDEX('Devel Overrides'!F$28:F$68,$AB120+1,1)*$AB$86+INDEX('Devel Overrides'!F$28:F$68,$AB120,1)*$AC$87)*'Devel Overrides'!$F$19</f>
        <v>0</v>
      </c>
      <c r="AF120" s="387">
        <f>IF(OR($AB120=0,$AB120&gt;40),0,INDEX('Devel Overrides'!G$28:G$68,$AB120+1,1)*$AB$86+INDEX('Devel Overrides'!G$28:G$68,$AB120,1)*$AC$87)*'Devel Overrides'!$F$19</f>
        <v>0</v>
      </c>
      <c r="AG120" s="387">
        <f>IF(OR($AB120=0,$AB120&gt;40),0,INDEX('Devel Overrides'!H$28:H$68,$AB120+1,1)*$AB$86+INDEX('Devel Overrides'!H$28:H$68,$AB120,1)*$AC$87)*'Devel Overrides'!$F$19</f>
        <v>0</v>
      </c>
      <c r="AH120" s="387">
        <f>IF(OR($AB120=0,$AB120&gt;40),0,INDEX('Devel Overrides'!I$28:I$68,$AB120+1,1)*$AB$86+INDEX('Devel Overrides'!I$28:I$68,$AB120,1)*$AC$87)*'Devel Overrides'!$F$19</f>
        <v>0</v>
      </c>
      <c r="AI120" s="387">
        <f>IF(OR($AB120=0,$AB120&gt;40),0,INDEX('Devel Overrides'!J$28:J$68,$AB120+1,1)*$AB$86+INDEX('Devel Overrides'!J$28:J$68,$AB120,1)*$AC$87)*'Devel Overrides'!$F$19</f>
        <v>0</v>
      </c>
      <c r="AJ120" s="387">
        <f>IF(OR($AB120=0,$AB120&gt;40),0,INDEX('Devel Overrides'!K$28:K$68,$AB120+1,1)*$AB$86+INDEX('Devel Overrides'!K$28:K$68,$AB120,1)*$AC$87)*'Devel Overrides'!$F$19</f>
        <v>0</v>
      </c>
      <c r="AK120" s="387">
        <f>IF(OR($AB120=0,$AB120&gt;40),0,INDEX('Devel Overrides'!L$28:L$68,$AB120+1,1)*$AB$86+INDEX('Devel Overrides'!L$28:L$68,$AB120,1)*$AC$87)*'Devel Overrides'!$F$19</f>
        <v>0</v>
      </c>
      <c r="AL120" s="64"/>
      <c r="AM120" s="109">
        <f>B120*'Selected Economics'!$J39*'Sensitivity Ranges'!$F$43</f>
        <v>0</v>
      </c>
      <c r="AN120" s="109">
        <f>IF($AB$85=1,AC120,Q120)*'Selected Economics'!$J39*'Sensitivity Ranges'!$F$43</f>
        <v>0</v>
      </c>
      <c r="AO120" s="109">
        <f>IF($AB$85=1,AD120,R120)*'Selected Economics'!$J39*'Sensitivity Ranges'!$F$43</f>
        <v>0</v>
      </c>
      <c r="AP120" s="109">
        <f>IF($AB$85=1,AE120,S120)*'Selected Economics'!$J39*'Sensitivity Ranges'!$F$43</f>
        <v>0</v>
      </c>
      <c r="AQ120" s="109">
        <f>IF($AB$85=1,AF120,T120)*'Selected Economics'!$J39*'Sensitivity Ranges'!$F$43</f>
        <v>0</v>
      </c>
      <c r="AR120" s="109">
        <f>IF($AB$85=1,AG120,U120)*'Selected Economics'!$J39*'Sensitivity Ranges'!$F$43</f>
        <v>0</v>
      </c>
      <c r="AS120" s="109">
        <f>IF($AB$85=1,AH120,V120)*'Selected Economics'!$J39*'Sensitivity Ranges'!$F$43</f>
        <v>0</v>
      </c>
      <c r="AT120" s="109">
        <f>IF($AB$85=1,AI120,W120)*'Selected Economics'!$J39*'Sensitivity Ranges'!$F$43</f>
        <v>0</v>
      </c>
      <c r="AU120" s="109">
        <f>IF($AB$85=1,AJ120,X120)*'Selected Economics'!$J39*'Sensitivity Ranges'!$F$43</f>
        <v>0</v>
      </c>
      <c r="AV120" s="109">
        <f>IF($AB$85=1,AK120,Y120)*'Selected Economics'!$J39*'Sensitivity Ranges'!$F$43</f>
        <v>0</v>
      </c>
      <c r="AW120" s="109">
        <f t="shared" si="51"/>
        <v>0</v>
      </c>
      <c r="AX120" s="121"/>
      <c r="AY120" s="109">
        <f t="shared" si="57"/>
        <v>0</v>
      </c>
      <c r="AZ120" s="109">
        <f>AN120*Abandonment!$H44</f>
        <v>0</v>
      </c>
      <c r="BA120" s="109">
        <f>AO120*Abandonment!$H44</f>
        <v>0</v>
      </c>
      <c r="BB120" s="109">
        <f>AP120*Abandonment!$H44</f>
        <v>0</v>
      </c>
      <c r="BC120" s="109">
        <f>AQ120*Abandonment!$H44</f>
        <v>0</v>
      </c>
      <c r="BD120" s="109">
        <f>AR120*Abandonment!$H44</f>
        <v>0</v>
      </c>
      <c r="BE120" s="109">
        <f>AS120*Abandonment!$H44</f>
        <v>0</v>
      </c>
      <c r="BF120" s="109">
        <f>AT120*Abandonment!$H44</f>
        <v>0</v>
      </c>
      <c r="BG120" s="109">
        <f>AU120*Abandonment!$H44</f>
        <v>0</v>
      </c>
      <c r="BH120" s="109">
        <f>AV120*Abandonment!$H44</f>
        <v>0</v>
      </c>
      <c r="BI120" s="109">
        <f t="shared" si="52"/>
        <v>0</v>
      </c>
      <c r="BJ120" s="121"/>
      <c r="BK120" s="109">
        <f>AZ120+Exploration!R65</f>
        <v>0</v>
      </c>
      <c r="BL120" s="109">
        <f>AY120+(BA120+BB120+BC120+IF(Input!$B$17="Shore",0,Development!BD120)+BE120)*(1+'Cost Assumptions'!$O$101)+BF120</f>
        <v>0</v>
      </c>
      <c r="BM120" s="109">
        <f>IF(Input!$B$17="Shore",Development!BD120,0)*(1+'Cost Assumptions'!$O$101)+BG120</f>
        <v>0</v>
      </c>
      <c r="BN120" s="105"/>
      <c r="BO120" s="105"/>
      <c r="BP120" s="109">
        <f t="shared" si="37"/>
        <v>0</v>
      </c>
      <c r="BQ120" s="145"/>
      <c r="BR120" s="105"/>
      <c r="BS120" s="109">
        <f t="shared" ca="1" si="38"/>
        <v>0</v>
      </c>
      <c r="BT120" s="109">
        <f t="shared" ca="1" si="39"/>
        <v>0</v>
      </c>
      <c r="BU120" s="109">
        <f t="shared" ca="1" si="40"/>
        <v>0</v>
      </c>
      <c r="BV120" s="109">
        <f t="shared" ca="1" si="41"/>
        <v>0</v>
      </c>
      <c r="BW120" s="109">
        <f t="shared" ca="1" si="42"/>
        <v>0</v>
      </c>
      <c r="BX120" s="109">
        <f t="shared" ca="1" si="43"/>
        <v>0</v>
      </c>
      <c r="BY120" s="109">
        <f t="shared" ca="1" si="44"/>
        <v>0</v>
      </c>
      <c r="BZ120" s="109">
        <f t="shared" ca="1" si="45"/>
        <v>0</v>
      </c>
      <c r="CA120" s="109">
        <f t="shared" ca="1" si="46"/>
        <v>0</v>
      </c>
      <c r="CB120" s="109">
        <f t="shared" ca="1" si="47"/>
        <v>0</v>
      </c>
      <c r="CC120" s="109">
        <f t="shared" ca="1" si="53"/>
        <v>0</v>
      </c>
      <c r="CD120" s="109"/>
      <c r="CE120" s="109">
        <f t="shared" si="54"/>
        <v>0</v>
      </c>
    </row>
    <row r="121" spans="1:83">
      <c r="A121" s="90">
        <f t="shared" si="55"/>
        <v>2052</v>
      </c>
      <c r="B121" s="109">
        <f t="shared" si="32"/>
        <v>0</v>
      </c>
      <c r="C121" s="109">
        <f t="shared" si="59"/>
        <v>0</v>
      </c>
      <c r="D121" s="109">
        <f t="shared" si="59"/>
        <v>0</v>
      </c>
      <c r="E121" s="109">
        <f t="shared" si="59"/>
        <v>0</v>
      </c>
      <c r="F121" s="109">
        <f t="shared" si="59"/>
        <v>0</v>
      </c>
      <c r="G121" s="109">
        <f t="shared" si="59"/>
        <v>0</v>
      </c>
      <c r="H121" s="109">
        <f t="shared" si="59"/>
        <v>0</v>
      </c>
      <c r="I121" s="109">
        <f t="shared" si="59"/>
        <v>0</v>
      </c>
      <c r="J121" s="109">
        <f t="shared" si="59"/>
        <v>0</v>
      </c>
      <c r="K121" s="109">
        <f t="shared" si="59"/>
        <v>0</v>
      </c>
      <c r="L121" s="109">
        <f t="shared" si="59"/>
        <v>0</v>
      </c>
      <c r="M121" s="109">
        <f t="shared" si="59"/>
        <v>0</v>
      </c>
      <c r="N121" s="109">
        <f t="shared" si="59"/>
        <v>0</v>
      </c>
      <c r="O121" s="109">
        <f t="shared" si="59"/>
        <v>0</v>
      </c>
      <c r="P121" s="109">
        <f t="shared" si="59"/>
        <v>0</v>
      </c>
      <c r="Q121" s="109">
        <f t="shared" si="48"/>
        <v>0</v>
      </c>
      <c r="R121" s="109">
        <f t="shared" si="60"/>
        <v>0</v>
      </c>
      <c r="S121" s="109">
        <f t="shared" si="60"/>
        <v>0</v>
      </c>
      <c r="T121" s="109">
        <f t="shared" si="60"/>
        <v>0</v>
      </c>
      <c r="U121" s="109">
        <f t="shared" si="60"/>
        <v>0</v>
      </c>
      <c r="V121" s="109">
        <f>'Cost Assumptions'!$O$100*SUM(Development!R121:U121)</f>
        <v>0</v>
      </c>
      <c r="W121" s="109">
        <f t="shared" si="56"/>
        <v>0</v>
      </c>
      <c r="X121" s="109">
        <f t="shared" si="49"/>
        <v>0</v>
      </c>
      <c r="Y121" s="109">
        <f>'Cost Assumptions'!$O$101*SUM(Development!R121:V121)</f>
        <v>0</v>
      </c>
      <c r="Z121" s="109">
        <f t="shared" si="35"/>
        <v>0</v>
      </c>
      <c r="AA121" s="121"/>
      <c r="AB121" s="148">
        <f t="shared" si="36"/>
        <v>24</v>
      </c>
      <c r="AC121" s="387">
        <f>IF(OR($AB121=0,$AB121&gt;40),0,INDEX('Devel Overrides'!D$28:D$68,$AB121+1,1)*$AB$86+INDEX('Devel Overrides'!D$28:D$68,$AB121,1)*$AC$87)*'Devel Overrides'!$F$19</f>
        <v>0</v>
      </c>
      <c r="AD121" s="387">
        <f>IF(OR($AB121=0,$AB121&gt;40),0,INDEX('Devel Overrides'!E$28:E$68,$AB121+1,1)*$AB$86+INDEX('Devel Overrides'!E$28:E$68,$AB121,1)*$AC$87)*'Devel Overrides'!$F$19</f>
        <v>0</v>
      </c>
      <c r="AE121" s="387">
        <f>IF(OR($AB121=0,$AB121&gt;40),0,INDEX('Devel Overrides'!F$28:F$68,$AB121+1,1)*$AB$86+INDEX('Devel Overrides'!F$28:F$68,$AB121,1)*$AC$87)*'Devel Overrides'!$F$19</f>
        <v>0</v>
      </c>
      <c r="AF121" s="387">
        <f>IF(OR($AB121=0,$AB121&gt;40),0,INDEX('Devel Overrides'!G$28:G$68,$AB121+1,1)*$AB$86+INDEX('Devel Overrides'!G$28:G$68,$AB121,1)*$AC$87)*'Devel Overrides'!$F$19</f>
        <v>0</v>
      </c>
      <c r="AG121" s="387">
        <f>IF(OR($AB121=0,$AB121&gt;40),0,INDEX('Devel Overrides'!H$28:H$68,$AB121+1,1)*$AB$86+INDEX('Devel Overrides'!H$28:H$68,$AB121,1)*$AC$87)*'Devel Overrides'!$F$19</f>
        <v>0</v>
      </c>
      <c r="AH121" s="387">
        <f>IF(OR($AB121=0,$AB121&gt;40),0,INDEX('Devel Overrides'!I$28:I$68,$AB121+1,1)*$AB$86+INDEX('Devel Overrides'!I$28:I$68,$AB121,1)*$AC$87)*'Devel Overrides'!$F$19</f>
        <v>0</v>
      </c>
      <c r="AI121" s="387">
        <f>IF(OR($AB121=0,$AB121&gt;40),0,INDEX('Devel Overrides'!J$28:J$68,$AB121+1,1)*$AB$86+INDEX('Devel Overrides'!J$28:J$68,$AB121,1)*$AC$87)*'Devel Overrides'!$F$19</f>
        <v>0</v>
      </c>
      <c r="AJ121" s="387">
        <f>IF(OR($AB121=0,$AB121&gt;40),0,INDEX('Devel Overrides'!K$28:K$68,$AB121+1,1)*$AB$86+INDEX('Devel Overrides'!K$28:K$68,$AB121,1)*$AC$87)*'Devel Overrides'!$F$19</f>
        <v>0</v>
      </c>
      <c r="AK121" s="387">
        <f>IF(OR($AB121=0,$AB121&gt;40),0,INDEX('Devel Overrides'!L$28:L$68,$AB121+1,1)*$AB$86+INDEX('Devel Overrides'!L$28:L$68,$AB121,1)*$AC$87)*'Devel Overrides'!$F$19</f>
        <v>0</v>
      </c>
      <c r="AL121" s="64"/>
      <c r="AM121" s="109">
        <f>B121*'Selected Economics'!$J40*'Sensitivity Ranges'!$F$43</f>
        <v>0</v>
      </c>
      <c r="AN121" s="109">
        <f>IF($AB$85=1,AC121,Q121)*'Selected Economics'!$J40*'Sensitivity Ranges'!$F$43</f>
        <v>0</v>
      </c>
      <c r="AO121" s="109">
        <f>IF($AB$85=1,AD121,R121)*'Selected Economics'!$J40*'Sensitivity Ranges'!$F$43</f>
        <v>0</v>
      </c>
      <c r="AP121" s="109">
        <f>IF($AB$85=1,AE121,S121)*'Selected Economics'!$J40*'Sensitivity Ranges'!$F$43</f>
        <v>0</v>
      </c>
      <c r="AQ121" s="109">
        <f>IF($AB$85=1,AF121,T121)*'Selected Economics'!$J40*'Sensitivity Ranges'!$F$43</f>
        <v>0</v>
      </c>
      <c r="AR121" s="109">
        <f>IF($AB$85=1,AG121,U121)*'Selected Economics'!$J40*'Sensitivity Ranges'!$F$43</f>
        <v>0</v>
      </c>
      <c r="AS121" s="109">
        <f>IF($AB$85=1,AH121,V121)*'Selected Economics'!$J40*'Sensitivity Ranges'!$F$43</f>
        <v>0</v>
      </c>
      <c r="AT121" s="109">
        <f>IF($AB$85=1,AI121,W121)*'Selected Economics'!$J40*'Sensitivity Ranges'!$F$43</f>
        <v>0</v>
      </c>
      <c r="AU121" s="109">
        <f>IF($AB$85=1,AJ121,X121)*'Selected Economics'!$J40*'Sensitivity Ranges'!$F$43</f>
        <v>0</v>
      </c>
      <c r="AV121" s="109">
        <f>IF($AB$85=1,AK121,Y121)*'Selected Economics'!$J40*'Sensitivity Ranges'!$F$43</f>
        <v>0</v>
      </c>
      <c r="AW121" s="109">
        <f t="shared" si="51"/>
        <v>0</v>
      </c>
      <c r="AX121" s="121"/>
      <c r="AY121" s="109">
        <f t="shared" si="57"/>
        <v>0</v>
      </c>
      <c r="AZ121" s="109">
        <f>AN121*Abandonment!$H45</f>
        <v>0</v>
      </c>
      <c r="BA121" s="109">
        <f>AO121*Abandonment!$H45</f>
        <v>0</v>
      </c>
      <c r="BB121" s="109">
        <f>AP121*Abandonment!$H45</f>
        <v>0</v>
      </c>
      <c r="BC121" s="109">
        <f>AQ121*Abandonment!$H45</f>
        <v>0</v>
      </c>
      <c r="BD121" s="109">
        <f>AR121*Abandonment!$H45</f>
        <v>0</v>
      </c>
      <c r="BE121" s="109">
        <f>AS121*Abandonment!$H45</f>
        <v>0</v>
      </c>
      <c r="BF121" s="109">
        <f>AT121*Abandonment!$H45</f>
        <v>0</v>
      </c>
      <c r="BG121" s="109">
        <f>AU121*Abandonment!$H45</f>
        <v>0</v>
      </c>
      <c r="BH121" s="109">
        <f>AV121*Abandonment!$H45</f>
        <v>0</v>
      </c>
      <c r="BI121" s="109">
        <f t="shared" si="52"/>
        <v>0</v>
      </c>
      <c r="BJ121" s="121"/>
      <c r="BK121" s="109">
        <f>AZ121+Exploration!R66</f>
        <v>0</v>
      </c>
      <c r="BL121" s="109">
        <f>AY121+(BA121+BB121+BC121+IF(Input!$B$17="Shore",0,Development!BD121)+BE121)*(1+'Cost Assumptions'!$O$101)+BF121</f>
        <v>0</v>
      </c>
      <c r="BM121" s="109">
        <f>IF(Input!$B$17="Shore",Development!BD121,0)*(1+'Cost Assumptions'!$O$101)+BG121</f>
        <v>0</v>
      </c>
      <c r="BN121" s="105"/>
      <c r="BO121" s="105"/>
      <c r="BP121" s="109">
        <f t="shared" si="37"/>
        <v>0</v>
      </c>
      <c r="BQ121" s="145"/>
      <c r="BR121" s="105"/>
      <c r="BS121" s="109">
        <f t="shared" ca="1" si="38"/>
        <v>0</v>
      </c>
      <c r="BT121" s="109">
        <f t="shared" ca="1" si="39"/>
        <v>0</v>
      </c>
      <c r="BU121" s="109">
        <f t="shared" ca="1" si="40"/>
        <v>0</v>
      </c>
      <c r="BV121" s="109">
        <f t="shared" ca="1" si="41"/>
        <v>0</v>
      </c>
      <c r="BW121" s="109">
        <f t="shared" ca="1" si="42"/>
        <v>0</v>
      </c>
      <c r="BX121" s="109">
        <f t="shared" ca="1" si="43"/>
        <v>0</v>
      </c>
      <c r="BY121" s="109">
        <f t="shared" ca="1" si="44"/>
        <v>0</v>
      </c>
      <c r="BZ121" s="109">
        <f t="shared" ca="1" si="45"/>
        <v>0</v>
      </c>
      <c r="CA121" s="109">
        <f t="shared" ca="1" si="46"/>
        <v>0</v>
      </c>
      <c r="CB121" s="109">
        <f t="shared" ca="1" si="47"/>
        <v>0</v>
      </c>
      <c r="CC121" s="109">
        <f t="shared" ca="1" si="53"/>
        <v>0</v>
      </c>
      <c r="CD121" s="109"/>
      <c r="CE121" s="109">
        <f t="shared" si="54"/>
        <v>0</v>
      </c>
    </row>
    <row r="122" spans="1:83">
      <c r="A122" s="90">
        <f t="shared" si="55"/>
        <v>2053</v>
      </c>
      <c r="B122" s="109">
        <f t="shared" si="32"/>
        <v>0</v>
      </c>
      <c r="C122" s="109">
        <f t="shared" ref="C122:P131" si="61">IF($A122=INDEX($H$41:$N$54,C$87,1),INDEX($O$41:$Y$54,C$87,1),IF($A122=INDEX($H$41:$N$54,C$87,2),INDEX($O$41:$Y$54,C$87,2),IF($A122=INDEX($H$41:$N$54,C$87,3),INDEX($O$41:$Y$54,C$87,3),IF($A122=INDEX($H$41:$N$54,C$87,4),INDEX($O$41:$Y$54,C$87,4),IF($A122=INDEX($H$41:$N$54,C$87,5),INDEX($O$41:$Y$54,C$87,5),IF($A122=INDEX($H$41:$N$54,C$87,6),INDEX($O$41:$Y$54,C$87,6),IF($A122=INDEX($H$41:$N$54,C$87,7),INDEX($O$41:$Y$54,C$87,7),0)))))))/1000</f>
        <v>0</v>
      </c>
      <c r="D122" s="109">
        <f t="shared" si="61"/>
        <v>0</v>
      </c>
      <c r="E122" s="109">
        <f t="shared" si="61"/>
        <v>0</v>
      </c>
      <c r="F122" s="109">
        <f t="shared" si="61"/>
        <v>0</v>
      </c>
      <c r="G122" s="109">
        <f t="shared" si="61"/>
        <v>0</v>
      </c>
      <c r="H122" s="109">
        <f t="shared" si="61"/>
        <v>0</v>
      </c>
      <c r="I122" s="109">
        <f t="shared" si="61"/>
        <v>0</v>
      </c>
      <c r="J122" s="109">
        <f t="shared" si="61"/>
        <v>0</v>
      </c>
      <c r="K122" s="109">
        <f t="shared" si="61"/>
        <v>0</v>
      </c>
      <c r="L122" s="109">
        <f t="shared" si="61"/>
        <v>0</v>
      </c>
      <c r="M122" s="109">
        <f t="shared" si="61"/>
        <v>0</v>
      </c>
      <c r="N122" s="109">
        <f t="shared" si="61"/>
        <v>0</v>
      </c>
      <c r="O122" s="109">
        <f t="shared" si="61"/>
        <v>0</v>
      </c>
      <c r="P122" s="109">
        <f t="shared" si="61"/>
        <v>0</v>
      </c>
      <c r="Q122" s="109">
        <f t="shared" si="48"/>
        <v>0</v>
      </c>
      <c r="R122" s="109">
        <f t="shared" si="60"/>
        <v>0</v>
      </c>
      <c r="S122" s="109">
        <f t="shared" si="60"/>
        <v>0</v>
      </c>
      <c r="T122" s="109">
        <f t="shared" si="60"/>
        <v>0</v>
      </c>
      <c r="U122" s="109">
        <f t="shared" si="60"/>
        <v>0</v>
      </c>
      <c r="V122" s="109">
        <f>'Cost Assumptions'!$O$100*SUM(Development!R122:U122)</f>
        <v>0</v>
      </c>
      <c r="W122" s="109">
        <f t="shared" si="56"/>
        <v>0</v>
      </c>
      <c r="X122" s="109">
        <f t="shared" si="49"/>
        <v>0</v>
      </c>
      <c r="Y122" s="109">
        <f>'Cost Assumptions'!$O$101*SUM(Development!R122:V122)</f>
        <v>0</v>
      </c>
      <c r="Z122" s="109">
        <f t="shared" si="35"/>
        <v>0</v>
      </c>
      <c r="AA122" s="121"/>
      <c r="AB122" s="148">
        <f t="shared" si="36"/>
        <v>25</v>
      </c>
      <c r="AC122" s="387">
        <f>IF(OR($AB122=0,$AB122&gt;40),0,INDEX('Devel Overrides'!D$28:D$68,$AB122+1,1)*$AB$86+INDEX('Devel Overrides'!D$28:D$68,$AB122,1)*$AC$87)*'Devel Overrides'!$F$19</f>
        <v>0</v>
      </c>
      <c r="AD122" s="387">
        <f>IF(OR($AB122=0,$AB122&gt;40),0,INDEX('Devel Overrides'!E$28:E$68,$AB122+1,1)*$AB$86+INDEX('Devel Overrides'!E$28:E$68,$AB122,1)*$AC$87)*'Devel Overrides'!$F$19</f>
        <v>0</v>
      </c>
      <c r="AE122" s="387">
        <f>IF(OR($AB122=0,$AB122&gt;40),0,INDEX('Devel Overrides'!F$28:F$68,$AB122+1,1)*$AB$86+INDEX('Devel Overrides'!F$28:F$68,$AB122,1)*$AC$87)*'Devel Overrides'!$F$19</f>
        <v>0</v>
      </c>
      <c r="AF122" s="387">
        <f>IF(OR($AB122=0,$AB122&gt;40),0,INDEX('Devel Overrides'!G$28:G$68,$AB122+1,1)*$AB$86+INDEX('Devel Overrides'!G$28:G$68,$AB122,1)*$AC$87)*'Devel Overrides'!$F$19</f>
        <v>0</v>
      </c>
      <c r="AG122" s="387">
        <f>IF(OR($AB122=0,$AB122&gt;40),0,INDEX('Devel Overrides'!H$28:H$68,$AB122+1,1)*$AB$86+INDEX('Devel Overrides'!H$28:H$68,$AB122,1)*$AC$87)*'Devel Overrides'!$F$19</f>
        <v>0</v>
      </c>
      <c r="AH122" s="387">
        <f>IF(OR($AB122=0,$AB122&gt;40),0,INDEX('Devel Overrides'!I$28:I$68,$AB122+1,1)*$AB$86+INDEX('Devel Overrides'!I$28:I$68,$AB122,1)*$AC$87)*'Devel Overrides'!$F$19</f>
        <v>0</v>
      </c>
      <c r="AI122" s="387">
        <f>IF(OR($AB122=0,$AB122&gt;40),0,INDEX('Devel Overrides'!J$28:J$68,$AB122+1,1)*$AB$86+INDEX('Devel Overrides'!J$28:J$68,$AB122,1)*$AC$87)*'Devel Overrides'!$F$19</f>
        <v>0</v>
      </c>
      <c r="AJ122" s="387">
        <f>IF(OR($AB122=0,$AB122&gt;40),0,INDEX('Devel Overrides'!K$28:K$68,$AB122+1,1)*$AB$86+INDEX('Devel Overrides'!K$28:K$68,$AB122,1)*$AC$87)*'Devel Overrides'!$F$19</f>
        <v>0</v>
      </c>
      <c r="AK122" s="387">
        <f>IF(OR($AB122=0,$AB122&gt;40),0,INDEX('Devel Overrides'!L$28:L$68,$AB122+1,1)*$AB$86+INDEX('Devel Overrides'!L$28:L$68,$AB122,1)*$AC$87)*'Devel Overrides'!$F$19</f>
        <v>0</v>
      </c>
      <c r="AL122" s="64"/>
      <c r="AM122" s="109">
        <f>B122*'Selected Economics'!$J41*'Sensitivity Ranges'!$F$43</f>
        <v>0</v>
      </c>
      <c r="AN122" s="109">
        <f>IF($AB$85=1,AC122,Q122)*'Selected Economics'!$J41*'Sensitivity Ranges'!$F$43</f>
        <v>0</v>
      </c>
      <c r="AO122" s="109">
        <f>IF($AB$85=1,AD122,R122)*'Selected Economics'!$J41*'Sensitivity Ranges'!$F$43</f>
        <v>0</v>
      </c>
      <c r="AP122" s="109">
        <f>IF($AB$85=1,AE122,S122)*'Selected Economics'!$J41*'Sensitivity Ranges'!$F$43</f>
        <v>0</v>
      </c>
      <c r="AQ122" s="109">
        <f>IF($AB$85=1,AF122,T122)*'Selected Economics'!$J41*'Sensitivity Ranges'!$F$43</f>
        <v>0</v>
      </c>
      <c r="AR122" s="109">
        <f>IF($AB$85=1,AG122,U122)*'Selected Economics'!$J41*'Sensitivity Ranges'!$F$43</f>
        <v>0</v>
      </c>
      <c r="AS122" s="109">
        <f>IF($AB$85=1,AH122,V122)*'Selected Economics'!$J41*'Sensitivity Ranges'!$F$43</f>
        <v>0</v>
      </c>
      <c r="AT122" s="109">
        <f>IF($AB$85=1,AI122,W122)*'Selected Economics'!$J41*'Sensitivity Ranges'!$F$43</f>
        <v>0</v>
      </c>
      <c r="AU122" s="109">
        <f>IF($AB$85=1,AJ122,X122)*'Selected Economics'!$J41*'Sensitivity Ranges'!$F$43</f>
        <v>0</v>
      </c>
      <c r="AV122" s="109">
        <f>IF($AB$85=1,AK122,Y122)*'Selected Economics'!$J41*'Sensitivity Ranges'!$F$43</f>
        <v>0</v>
      </c>
      <c r="AW122" s="109">
        <f t="shared" si="51"/>
        <v>0</v>
      </c>
      <c r="AX122" s="121"/>
      <c r="AY122" s="109">
        <f t="shared" si="57"/>
        <v>0</v>
      </c>
      <c r="AZ122" s="109">
        <f>AN122*Abandonment!$H46</f>
        <v>0</v>
      </c>
      <c r="BA122" s="109">
        <f>AO122*Abandonment!$H46</f>
        <v>0</v>
      </c>
      <c r="BB122" s="109">
        <f>AP122*Abandonment!$H46</f>
        <v>0</v>
      </c>
      <c r="BC122" s="109">
        <f>AQ122*Abandonment!$H46</f>
        <v>0</v>
      </c>
      <c r="BD122" s="109">
        <f>AR122*Abandonment!$H46</f>
        <v>0</v>
      </c>
      <c r="BE122" s="109">
        <f>AS122*Abandonment!$H46</f>
        <v>0</v>
      </c>
      <c r="BF122" s="109">
        <f>AT122*Abandonment!$H46</f>
        <v>0</v>
      </c>
      <c r="BG122" s="109">
        <f>AU122*Abandonment!$H46</f>
        <v>0</v>
      </c>
      <c r="BH122" s="109">
        <f>AV122*Abandonment!$H46</f>
        <v>0</v>
      </c>
      <c r="BI122" s="109">
        <f t="shared" si="52"/>
        <v>0</v>
      </c>
      <c r="BJ122" s="121"/>
      <c r="BK122" s="109">
        <f>AZ122+Exploration!R67</f>
        <v>0</v>
      </c>
      <c r="BL122" s="109">
        <f>AY122+(BA122+BB122+BC122+IF(Input!$B$17="Shore",0,Development!BD122)+BE122)*(1+'Cost Assumptions'!$O$101)+BF122</f>
        <v>0</v>
      </c>
      <c r="BM122" s="109">
        <f>IF(Input!$B$17="Shore",Development!BD122,0)*(1+'Cost Assumptions'!$O$101)+BG122</f>
        <v>0</v>
      </c>
      <c r="BN122" s="105"/>
      <c r="BO122" s="105"/>
      <c r="BP122" s="109">
        <f t="shared" si="37"/>
        <v>0</v>
      </c>
      <c r="BQ122" s="145"/>
      <c r="BR122" s="105"/>
      <c r="BS122" s="109">
        <f t="shared" ca="1" si="38"/>
        <v>0</v>
      </c>
      <c r="BT122" s="109">
        <f t="shared" ca="1" si="39"/>
        <v>0</v>
      </c>
      <c r="BU122" s="109">
        <f t="shared" ca="1" si="40"/>
        <v>0</v>
      </c>
      <c r="BV122" s="109">
        <f t="shared" ca="1" si="41"/>
        <v>0</v>
      </c>
      <c r="BW122" s="109">
        <f t="shared" ca="1" si="42"/>
        <v>0</v>
      </c>
      <c r="BX122" s="109">
        <f t="shared" ca="1" si="43"/>
        <v>0</v>
      </c>
      <c r="BY122" s="109">
        <f t="shared" ca="1" si="44"/>
        <v>0</v>
      </c>
      <c r="BZ122" s="109">
        <f t="shared" ca="1" si="45"/>
        <v>0</v>
      </c>
      <c r="CA122" s="109">
        <f t="shared" ca="1" si="46"/>
        <v>0</v>
      </c>
      <c r="CB122" s="109">
        <f t="shared" ca="1" si="47"/>
        <v>0</v>
      </c>
      <c r="CC122" s="109">
        <f t="shared" ca="1" si="53"/>
        <v>0</v>
      </c>
      <c r="CD122" s="109"/>
      <c r="CE122" s="109">
        <f t="shared" si="54"/>
        <v>0</v>
      </c>
    </row>
    <row r="123" spans="1:83">
      <c r="A123" s="90">
        <f t="shared" si="55"/>
        <v>2054</v>
      </c>
      <c r="B123" s="109">
        <f t="shared" si="32"/>
        <v>0</v>
      </c>
      <c r="C123" s="109">
        <f t="shared" si="61"/>
        <v>0</v>
      </c>
      <c r="D123" s="109">
        <f t="shared" si="61"/>
        <v>0</v>
      </c>
      <c r="E123" s="109">
        <f t="shared" si="61"/>
        <v>0</v>
      </c>
      <c r="F123" s="109">
        <f t="shared" si="61"/>
        <v>0</v>
      </c>
      <c r="G123" s="109">
        <f t="shared" si="61"/>
        <v>0</v>
      </c>
      <c r="H123" s="109">
        <f t="shared" si="61"/>
        <v>0</v>
      </c>
      <c r="I123" s="109">
        <f t="shared" si="61"/>
        <v>0</v>
      </c>
      <c r="J123" s="109">
        <f t="shared" si="61"/>
        <v>0</v>
      </c>
      <c r="K123" s="109">
        <f t="shared" si="61"/>
        <v>0</v>
      </c>
      <c r="L123" s="109">
        <f t="shared" si="61"/>
        <v>0</v>
      </c>
      <c r="M123" s="109">
        <f t="shared" si="61"/>
        <v>0</v>
      </c>
      <c r="N123" s="109">
        <f t="shared" si="61"/>
        <v>0</v>
      </c>
      <c r="O123" s="109">
        <f t="shared" si="61"/>
        <v>0</v>
      </c>
      <c r="P123" s="109">
        <f t="shared" si="61"/>
        <v>0</v>
      </c>
      <c r="Q123" s="109">
        <f t="shared" si="48"/>
        <v>0</v>
      </c>
      <c r="R123" s="109">
        <f t="shared" si="60"/>
        <v>0</v>
      </c>
      <c r="S123" s="109">
        <f t="shared" si="60"/>
        <v>0</v>
      </c>
      <c r="T123" s="109">
        <f t="shared" si="60"/>
        <v>0</v>
      </c>
      <c r="U123" s="109">
        <f t="shared" si="60"/>
        <v>0</v>
      </c>
      <c r="V123" s="109">
        <f>'Cost Assumptions'!$O$100*SUM(Development!R123:U123)</f>
        <v>0</v>
      </c>
      <c r="W123" s="109">
        <f t="shared" si="56"/>
        <v>0</v>
      </c>
      <c r="X123" s="109">
        <f t="shared" si="49"/>
        <v>0</v>
      </c>
      <c r="Y123" s="109">
        <f>'Cost Assumptions'!$O$101*SUM(Development!R123:V123)</f>
        <v>0</v>
      </c>
      <c r="Z123" s="109">
        <f t="shared" si="35"/>
        <v>0</v>
      </c>
      <c r="AA123" s="121"/>
      <c r="AB123" s="148">
        <f t="shared" si="36"/>
        <v>26</v>
      </c>
      <c r="AC123" s="387">
        <f>IF(OR($AB123=0,$AB123&gt;40),0,INDEX('Devel Overrides'!D$28:D$68,$AB123+1,1)*$AB$86+INDEX('Devel Overrides'!D$28:D$68,$AB123,1)*$AC$87)*'Devel Overrides'!$F$19</f>
        <v>0</v>
      </c>
      <c r="AD123" s="387">
        <f>IF(OR($AB123=0,$AB123&gt;40),0,INDEX('Devel Overrides'!E$28:E$68,$AB123+1,1)*$AB$86+INDEX('Devel Overrides'!E$28:E$68,$AB123,1)*$AC$87)*'Devel Overrides'!$F$19</f>
        <v>0</v>
      </c>
      <c r="AE123" s="387">
        <f>IF(OR($AB123=0,$AB123&gt;40),0,INDEX('Devel Overrides'!F$28:F$68,$AB123+1,1)*$AB$86+INDEX('Devel Overrides'!F$28:F$68,$AB123,1)*$AC$87)*'Devel Overrides'!$F$19</f>
        <v>0</v>
      </c>
      <c r="AF123" s="387">
        <f>IF(OR($AB123=0,$AB123&gt;40),0,INDEX('Devel Overrides'!G$28:G$68,$AB123+1,1)*$AB$86+INDEX('Devel Overrides'!G$28:G$68,$AB123,1)*$AC$87)*'Devel Overrides'!$F$19</f>
        <v>0</v>
      </c>
      <c r="AG123" s="387">
        <f>IF(OR($AB123=0,$AB123&gt;40),0,INDEX('Devel Overrides'!H$28:H$68,$AB123+1,1)*$AB$86+INDEX('Devel Overrides'!H$28:H$68,$AB123,1)*$AC$87)*'Devel Overrides'!$F$19</f>
        <v>0</v>
      </c>
      <c r="AH123" s="387">
        <f>IF(OR($AB123=0,$AB123&gt;40),0,INDEX('Devel Overrides'!I$28:I$68,$AB123+1,1)*$AB$86+INDEX('Devel Overrides'!I$28:I$68,$AB123,1)*$AC$87)*'Devel Overrides'!$F$19</f>
        <v>0</v>
      </c>
      <c r="AI123" s="387">
        <f>IF(OR($AB123=0,$AB123&gt;40),0,INDEX('Devel Overrides'!J$28:J$68,$AB123+1,1)*$AB$86+INDEX('Devel Overrides'!J$28:J$68,$AB123,1)*$AC$87)*'Devel Overrides'!$F$19</f>
        <v>0</v>
      </c>
      <c r="AJ123" s="387">
        <f>IF(OR($AB123=0,$AB123&gt;40),0,INDEX('Devel Overrides'!K$28:K$68,$AB123+1,1)*$AB$86+INDEX('Devel Overrides'!K$28:K$68,$AB123,1)*$AC$87)*'Devel Overrides'!$F$19</f>
        <v>0</v>
      </c>
      <c r="AK123" s="387">
        <f>IF(OR($AB123=0,$AB123&gt;40),0,INDEX('Devel Overrides'!L$28:L$68,$AB123+1,1)*$AB$86+INDEX('Devel Overrides'!L$28:L$68,$AB123,1)*$AC$87)*'Devel Overrides'!$F$19</f>
        <v>0</v>
      </c>
      <c r="AL123" s="64"/>
      <c r="AM123" s="109">
        <f>B123*'Selected Economics'!$J42*'Sensitivity Ranges'!$F$43</f>
        <v>0</v>
      </c>
      <c r="AN123" s="109">
        <f>IF($AB$85=1,AC123,Q123)*'Selected Economics'!$J42*'Sensitivity Ranges'!$F$43</f>
        <v>0</v>
      </c>
      <c r="AO123" s="109">
        <f>IF($AB$85=1,AD123,R123)*'Selected Economics'!$J42*'Sensitivity Ranges'!$F$43</f>
        <v>0</v>
      </c>
      <c r="AP123" s="109">
        <f>IF($AB$85=1,AE123,S123)*'Selected Economics'!$J42*'Sensitivity Ranges'!$F$43</f>
        <v>0</v>
      </c>
      <c r="AQ123" s="109">
        <f>IF($AB$85=1,AF123,T123)*'Selected Economics'!$J42*'Sensitivity Ranges'!$F$43</f>
        <v>0</v>
      </c>
      <c r="AR123" s="109">
        <f>IF($AB$85=1,AG123,U123)*'Selected Economics'!$J42*'Sensitivity Ranges'!$F$43</f>
        <v>0</v>
      </c>
      <c r="AS123" s="109">
        <f>IF($AB$85=1,AH123,V123)*'Selected Economics'!$J42*'Sensitivity Ranges'!$F$43</f>
        <v>0</v>
      </c>
      <c r="AT123" s="109">
        <f>IF($AB$85=1,AI123,W123)*'Selected Economics'!$J42*'Sensitivity Ranges'!$F$43</f>
        <v>0</v>
      </c>
      <c r="AU123" s="109">
        <f>IF($AB$85=1,AJ123,X123)*'Selected Economics'!$J42*'Sensitivity Ranges'!$F$43</f>
        <v>0</v>
      </c>
      <c r="AV123" s="109">
        <f>IF($AB$85=1,AK123,Y123)*'Selected Economics'!$J42*'Sensitivity Ranges'!$F$43</f>
        <v>0</v>
      </c>
      <c r="AW123" s="109">
        <f t="shared" si="51"/>
        <v>0</v>
      </c>
      <c r="AX123" s="121"/>
      <c r="AY123" s="109">
        <f t="shared" si="57"/>
        <v>0</v>
      </c>
      <c r="AZ123" s="109">
        <f>AN123*Abandonment!$H47</f>
        <v>0</v>
      </c>
      <c r="BA123" s="109">
        <f>AO123*Abandonment!$H47</f>
        <v>0</v>
      </c>
      <c r="BB123" s="109">
        <f>AP123*Abandonment!$H47</f>
        <v>0</v>
      </c>
      <c r="BC123" s="109">
        <f>AQ123*Abandonment!$H47</f>
        <v>0</v>
      </c>
      <c r="BD123" s="109">
        <f>AR123*Abandonment!$H47</f>
        <v>0</v>
      </c>
      <c r="BE123" s="109">
        <f>AS123*Abandonment!$H47</f>
        <v>0</v>
      </c>
      <c r="BF123" s="109">
        <f>AT123*Abandonment!$H47</f>
        <v>0</v>
      </c>
      <c r="BG123" s="109">
        <f>AU123*Abandonment!$H47</f>
        <v>0</v>
      </c>
      <c r="BH123" s="109">
        <f>AV123*Abandonment!$H47</f>
        <v>0</v>
      </c>
      <c r="BI123" s="109">
        <f t="shared" si="52"/>
        <v>0</v>
      </c>
      <c r="BJ123" s="121"/>
      <c r="BK123" s="109">
        <f>AZ123+Exploration!R68</f>
        <v>0</v>
      </c>
      <c r="BL123" s="109">
        <f>AY123+(BA123+BB123+BC123+IF(Input!$B$17="Shore",0,Development!BD123)+BE123)*(1+'Cost Assumptions'!$O$101)+BF123</f>
        <v>0</v>
      </c>
      <c r="BM123" s="109">
        <f>IF(Input!$B$17="Shore",Development!BD123,0)*(1+'Cost Assumptions'!$O$101)+BG123</f>
        <v>0</v>
      </c>
      <c r="BN123" s="105"/>
      <c r="BO123" s="105"/>
      <c r="BP123" s="109">
        <f t="shared" si="37"/>
        <v>0</v>
      </c>
      <c r="BQ123" s="145"/>
      <c r="BR123" s="105"/>
      <c r="BS123" s="109">
        <f t="shared" ca="1" si="38"/>
        <v>0</v>
      </c>
      <c r="BT123" s="109">
        <f t="shared" ca="1" si="39"/>
        <v>0</v>
      </c>
      <c r="BU123" s="109">
        <f t="shared" ca="1" si="40"/>
        <v>0</v>
      </c>
      <c r="BV123" s="109">
        <f t="shared" ca="1" si="41"/>
        <v>0</v>
      </c>
      <c r="BW123" s="109">
        <f t="shared" ca="1" si="42"/>
        <v>0</v>
      </c>
      <c r="BX123" s="109">
        <f t="shared" ca="1" si="43"/>
        <v>0</v>
      </c>
      <c r="BY123" s="109">
        <f t="shared" ca="1" si="44"/>
        <v>0</v>
      </c>
      <c r="BZ123" s="109">
        <f t="shared" ca="1" si="45"/>
        <v>0</v>
      </c>
      <c r="CA123" s="109">
        <f t="shared" ca="1" si="46"/>
        <v>0</v>
      </c>
      <c r="CB123" s="109">
        <f t="shared" ca="1" si="47"/>
        <v>0</v>
      </c>
      <c r="CC123" s="109">
        <f t="shared" ca="1" si="53"/>
        <v>0</v>
      </c>
      <c r="CD123" s="109"/>
      <c r="CE123" s="109">
        <f t="shared" si="54"/>
        <v>0</v>
      </c>
    </row>
    <row r="124" spans="1:83">
      <c r="A124" s="90">
        <f t="shared" si="55"/>
        <v>2055</v>
      </c>
      <c r="B124" s="109">
        <f t="shared" si="32"/>
        <v>0</v>
      </c>
      <c r="C124" s="109">
        <f t="shared" si="61"/>
        <v>0</v>
      </c>
      <c r="D124" s="109">
        <f t="shared" si="61"/>
        <v>0</v>
      </c>
      <c r="E124" s="109">
        <f t="shared" si="61"/>
        <v>0</v>
      </c>
      <c r="F124" s="109">
        <f t="shared" si="61"/>
        <v>0</v>
      </c>
      <c r="G124" s="109">
        <f t="shared" si="61"/>
        <v>0</v>
      </c>
      <c r="H124" s="109">
        <f t="shared" si="61"/>
        <v>0</v>
      </c>
      <c r="I124" s="109">
        <f t="shared" si="61"/>
        <v>0</v>
      </c>
      <c r="J124" s="109">
        <f t="shared" si="61"/>
        <v>0</v>
      </c>
      <c r="K124" s="109">
        <f t="shared" si="61"/>
        <v>0</v>
      </c>
      <c r="L124" s="109">
        <f t="shared" si="61"/>
        <v>0</v>
      </c>
      <c r="M124" s="109">
        <f t="shared" si="61"/>
        <v>0</v>
      </c>
      <c r="N124" s="109">
        <f t="shared" si="61"/>
        <v>0</v>
      </c>
      <c r="O124" s="109">
        <f t="shared" si="61"/>
        <v>0</v>
      </c>
      <c r="P124" s="109">
        <f t="shared" si="61"/>
        <v>0</v>
      </c>
      <c r="Q124" s="109">
        <f t="shared" si="48"/>
        <v>0</v>
      </c>
      <c r="R124" s="109">
        <f t="shared" si="60"/>
        <v>0</v>
      </c>
      <c r="S124" s="109">
        <f t="shared" si="60"/>
        <v>0</v>
      </c>
      <c r="T124" s="109">
        <f t="shared" si="60"/>
        <v>0</v>
      </c>
      <c r="U124" s="109">
        <f t="shared" si="60"/>
        <v>0</v>
      </c>
      <c r="V124" s="109">
        <f>'Cost Assumptions'!$O$100*SUM(Development!R124:U124)</f>
        <v>0</v>
      </c>
      <c r="W124" s="109">
        <f t="shared" si="56"/>
        <v>0</v>
      </c>
      <c r="X124" s="109">
        <f t="shared" si="49"/>
        <v>0</v>
      </c>
      <c r="Y124" s="109">
        <f>'Cost Assumptions'!$O$101*SUM(Development!R124:V124)</f>
        <v>0</v>
      </c>
      <c r="Z124" s="109">
        <f t="shared" si="35"/>
        <v>0</v>
      </c>
      <c r="AA124" s="121"/>
      <c r="AB124" s="148">
        <f t="shared" si="36"/>
        <v>27</v>
      </c>
      <c r="AC124" s="387">
        <f>IF(OR($AB124=0,$AB124&gt;40),0,INDEX('Devel Overrides'!D$28:D$68,$AB124+1,1)*$AB$86+INDEX('Devel Overrides'!D$28:D$68,$AB124,1)*$AC$87)*'Devel Overrides'!$F$19</f>
        <v>0</v>
      </c>
      <c r="AD124" s="387">
        <f>IF(OR($AB124=0,$AB124&gt;40),0,INDEX('Devel Overrides'!E$28:E$68,$AB124+1,1)*$AB$86+INDEX('Devel Overrides'!E$28:E$68,$AB124,1)*$AC$87)*'Devel Overrides'!$F$19</f>
        <v>0</v>
      </c>
      <c r="AE124" s="387">
        <f>IF(OR($AB124=0,$AB124&gt;40),0,INDEX('Devel Overrides'!F$28:F$68,$AB124+1,1)*$AB$86+INDEX('Devel Overrides'!F$28:F$68,$AB124,1)*$AC$87)*'Devel Overrides'!$F$19</f>
        <v>0</v>
      </c>
      <c r="AF124" s="387">
        <f>IF(OR($AB124=0,$AB124&gt;40),0,INDEX('Devel Overrides'!G$28:G$68,$AB124+1,1)*$AB$86+INDEX('Devel Overrides'!G$28:G$68,$AB124,1)*$AC$87)*'Devel Overrides'!$F$19</f>
        <v>0</v>
      </c>
      <c r="AG124" s="387">
        <f>IF(OR($AB124=0,$AB124&gt;40),0,INDEX('Devel Overrides'!H$28:H$68,$AB124+1,1)*$AB$86+INDEX('Devel Overrides'!H$28:H$68,$AB124,1)*$AC$87)*'Devel Overrides'!$F$19</f>
        <v>0</v>
      </c>
      <c r="AH124" s="387">
        <f>IF(OR($AB124=0,$AB124&gt;40),0,INDEX('Devel Overrides'!I$28:I$68,$AB124+1,1)*$AB$86+INDEX('Devel Overrides'!I$28:I$68,$AB124,1)*$AC$87)*'Devel Overrides'!$F$19</f>
        <v>0</v>
      </c>
      <c r="AI124" s="387">
        <f>IF(OR($AB124=0,$AB124&gt;40),0,INDEX('Devel Overrides'!J$28:J$68,$AB124+1,1)*$AB$86+INDEX('Devel Overrides'!J$28:J$68,$AB124,1)*$AC$87)*'Devel Overrides'!$F$19</f>
        <v>0</v>
      </c>
      <c r="AJ124" s="387">
        <f>IF(OR($AB124=0,$AB124&gt;40),0,INDEX('Devel Overrides'!K$28:K$68,$AB124+1,1)*$AB$86+INDEX('Devel Overrides'!K$28:K$68,$AB124,1)*$AC$87)*'Devel Overrides'!$F$19</f>
        <v>0</v>
      </c>
      <c r="AK124" s="387">
        <f>IF(OR($AB124=0,$AB124&gt;40),0,INDEX('Devel Overrides'!L$28:L$68,$AB124+1,1)*$AB$86+INDEX('Devel Overrides'!L$28:L$68,$AB124,1)*$AC$87)*'Devel Overrides'!$F$19</f>
        <v>0</v>
      </c>
      <c r="AL124" s="64"/>
      <c r="AM124" s="109">
        <f>B124*'Selected Economics'!$J43*'Sensitivity Ranges'!$F$43</f>
        <v>0</v>
      </c>
      <c r="AN124" s="109">
        <f>IF($AB$85=1,AC124,Q124)*'Selected Economics'!$J43*'Sensitivity Ranges'!$F$43</f>
        <v>0</v>
      </c>
      <c r="AO124" s="109">
        <f>IF($AB$85=1,AD124,R124)*'Selected Economics'!$J43*'Sensitivity Ranges'!$F$43</f>
        <v>0</v>
      </c>
      <c r="AP124" s="109">
        <f>IF($AB$85=1,AE124,S124)*'Selected Economics'!$J43*'Sensitivity Ranges'!$F$43</f>
        <v>0</v>
      </c>
      <c r="AQ124" s="109">
        <f>IF($AB$85=1,AF124,T124)*'Selected Economics'!$J43*'Sensitivity Ranges'!$F$43</f>
        <v>0</v>
      </c>
      <c r="AR124" s="109">
        <f>IF($AB$85=1,AG124,U124)*'Selected Economics'!$J43*'Sensitivity Ranges'!$F$43</f>
        <v>0</v>
      </c>
      <c r="AS124" s="109">
        <f>IF($AB$85=1,AH124,V124)*'Selected Economics'!$J43*'Sensitivity Ranges'!$F$43</f>
        <v>0</v>
      </c>
      <c r="AT124" s="109">
        <f>IF($AB$85=1,AI124,W124)*'Selected Economics'!$J43*'Sensitivity Ranges'!$F$43</f>
        <v>0</v>
      </c>
      <c r="AU124" s="109">
        <f>IF($AB$85=1,AJ124,X124)*'Selected Economics'!$J43*'Sensitivity Ranges'!$F$43</f>
        <v>0</v>
      </c>
      <c r="AV124" s="109">
        <f>IF($AB$85=1,AK124,Y124)*'Selected Economics'!$J43*'Sensitivity Ranges'!$F$43</f>
        <v>0</v>
      </c>
      <c r="AW124" s="109">
        <f t="shared" si="51"/>
        <v>0</v>
      </c>
      <c r="AX124" s="121"/>
      <c r="AY124" s="109">
        <f t="shared" si="57"/>
        <v>0</v>
      </c>
      <c r="AZ124" s="109">
        <f>AN124*Abandonment!$H48</f>
        <v>0</v>
      </c>
      <c r="BA124" s="109">
        <f>AO124*Abandonment!$H48</f>
        <v>0</v>
      </c>
      <c r="BB124" s="109">
        <f>AP124*Abandonment!$H48</f>
        <v>0</v>
      </c>
      <c r="BC124" s="109">
        <f>AQ124*Abandonment!$H48</f>
        <v>0</v>
      </c>
      <c r="BD124" s="109">
        <f>AR124*Abandonment!$H48</f>
        <v>0</v>
      </c>
      <c r="BE124" s="109">
        <f>AS124*Abandonment!$H48</f>
        <v>0</v>
      </c>
      <c r="BF124" s="109">
        <f>AT124*Abandonment!$H48</f>
        <v>0</v>
      </c>
      <c r="BG124" s="109">
        <f>AU124*Abandonment!$H48</f>
        <v>0</v>
      </c>
      <c r="BH124" s="109">
        <f>AV124*Abandonment!$H48</f>
        <v>0</v>
      </c>
      <c r="BI124" s="109">
        <f t="shared" si="52"/>
        <v>0</v>
      </c>
      <c r="BJ124" s="121"/>
      <c r="BK124" s="109">
        <f>AZ124+Exploration!R69</f>
        <v>0</v>
      </c>
      <c r="BL124" s="109">
        <f>AY124+(BA124+BB124+BC124+IF(Input!$B$17="Shore",0,Development!BD124)+BE124)*(1+'Cost Assumptions'!$O$101)+BF124</f>
        <v>0</v>
      </c>
      <c r="BM124" s="109">
        <f>IF(Input!$B$17="Shore",Development!BD124,0)*(1+'Cost Assumptions'!$O$101)+BG124</f>
        <v>0</v>
      </c>
      <c r="BN124" s="105"/>
      <c r="BO124" s="105"/>
      <c r="BP124" s="109">
        <f t="shared" si="37"/>
        <v>0</v>
      </c>
      <c r="BQ124" s="145"/>
      <c r="BR124" s="105"/>
      <c r="BS124" s="109">
        <f t="shared" ca="1" si="38"/>
        <v>0</v>
      </c>
      <c r="BT124" s="109">
        <f t="shared" ca="1" si="39"/>
        <v>0</v>
      </c>
      <c r="BU124" s="109">
        <f t="shared" ca="1" si="40"/>
        <v>0</v>
      </c>
      <c r="BV124" s="109">
        <f t="shared" ca="1" si="41"/>
        <v>0</v>
      </c>
      <c r="BW124" s="109">
        <f t="shared" ca="1" si="42"/>
        <v>0</v>
      </c>
      <c r="BX124" s="109">
        <f t="shared" ca="1" si="43"/>
        <v>0</v>
      </c>
      <c r="BY124" s="109">
        <f t="shared" ca="1" si="44"/>
        <v>0</v>
      </c>
      <c r="BZ124" s="109">
        <f t="shared" ca="1" si="45"/>
        <v>0</v>
      </c>
      <c r="CA124" s="109">
        <f t="shared" ca="1" si="46"/>
        <v>0</v>
      </c>
      <c r="CB124" s="109">
        <f t="shared" ca="1" si="47"/>
        <v>0</v>
      </c>
      <c r="CC124" s="109">
        <f t="shared" ca="1" si="53"/>
        <v>0</v>
      </c>
      <c r="CD124" s="109"/>
      <c r="CE124" s="109">
        <f t="shared" si="54"/>
        <v>0</v>
      </c>
    </row>
    <row r="125" spans="1:83">
      <c r="A125" s="90">
        <f t="shared" si="55"/>
        <v>2056</v>
      </c>
      <c r="B125" s="109">
        <f t="shared" si="32"/>
        <v>0</v>
      </c>
      <c r="C125" s="109">
        <f t="shared" si="61"/>
        <v>0</v>
      </c>
      <c r="D125" s="109">
        <f t="shared" si="61"/>
        <v>0</v>
      </c>
      <c r="E125" s="109">
        <f t="shared" si="61"/>
        <v>0</v>
      </c>
      <c r="F125" s="109">
        <f t="shared" si="61"/>
        <v>0</v>
      </c>
      <c r="G125" s="109">
        <f t="shared" si="61"/>
        <v>0</v>
      </c>
      <c r="H125" s="109">
        <f t="shared" si="61"/>
        <v>0</v>
      </c>
      <c r="I125" s="109">
        <f t="shared" si="61"/>
        <v>0</v>
      </c>
      <c r="J125" s="109">
        <f t="shared" si="61"/>
        <v>0</v>
      </c>
      <c r="K125" s="109">
        <f t="shared" si="61"/>
        <v>0</v>
      </c>
      <c r="L125" s="109">
        <f t="shared" si="61"/>
        <v>0</v>
      </c>
      <c r="M125" s="109">
        <f t="shared" si="61"/>
        <v>0</v>
      </c>
      <c r="N125" s="109">
        <f t="shared" si="61"/>
        <v>0</v>
      </c>
      <c r="O125" s="109">
        <f t="shared" si="61"/>
        <v>0</v>
      </c>
      <c r="P125" s="109">
        <f t="shared" si="61"/>
        <v>0</v>
      </c>
      <c r="Q125" s="109">
        <f t="shared" si="48"/>
        <v>0</v>
      </c>
      <c r="R125" s="109">
        <f t="shared" si="60"/>
        <v>0</v>
      </c>
      <c r="S125" s="109">
        <f t="shared" si="60"/>
        <v>0</v>
      </c>
      <c r="T125" s="109">
        <f t="shared" si="60"/>
        <v>0</v>
      </c>
      <c r="U125" s="109">
        <f t="shared" si="60"/>
        <v>0</v>
      </c>
      <c r="V125" s="109">
        <f>'Cost Assumptions'!$O$100*SUM(Development!R125:U125)</f>
        <v>0</v>
      </c>
      <c r="W125" s="109">
        <f t="shared" si="56"/>
        <v>0</v>
      </c>
      <c r="X125" s="109">
        <f t="shared" si="49"/>
        <v>0</v>
      </c>
      <c r="Y125" s="109">
        <f>'Cost Assumptions'!$O$101*SUM(Development!R125:V125)</f>
        <v>0</v>
      </c>
      <c r="Z125" s="109">
        <f t="shared" si="35"/>
        <v>0</v>
      </c>
      <c r="AA125" s="121"/>
      <c r="AB125" s="148">
        <f t="shared" si="36"/>
        <v>28</v>
      </c>
      <c r="AC125" s="387">
        <f>IF(OR($AB125=0,$AB125&gt;40),0,INDEX('Devel Overrides'!D$28:D$68,$AB125+1,1)*$AB$86+INDEX('Devel Overrides'!D$28:D$68,$AB125,1)*$AC$87)*'Devel Overrides'!$F$19</f>
        <v>0</v>
      </c>
      <c r="AD125" s="387">
        <f>IF(OR($AB125=0,$AB125&gt;40),0,INDEX('Devel Overrides'!E$28:E$68,$AB125+1,1)*$AB$86+INDEX('Devel Overrides'!E$28:E$68,$AB125,1)*$AC$87)*'Devel Overrides'!$F$19</f>
        <v>0</v>
      </c>
      <c r="AE125" s="387">
        <f>IF(OR($AB125=0,$AB125&gt;40),0,INDEX('Devel Overrides'!F$28:F$68,$AB125+1,1)*$AB$86+INDEX('Devel Overrides'!F$28:F$68,$AB125,1)*$AC$87)*'Devel Overrides'!$F$19</f>
        <v>0</v>
      </c>
      <c r="AF125" s="387">
        <f>IF(OR($AB125=0,$AB125&gt;40),0,INDEX('Devel Overrides'!G$28:G$68,$AB125+1,1)*$AB$86+INDEX('Devel Overrides'!G$28:G$68,$AB125,1)*$AC$87)*'Devel Overrides'!$F$19</f>
        <v>0</v>
      </c>
      <c r="AG125" s="387">
        <f>IF(OR($AB125=0,$AB125&gt;40),0,INDEX('Devel Overrides'!H$28:H$68,$AB125+1,1)*$AB$86+INDEX('Devel Overrides'!H$28:H$68,$AB125,1)*$AC$87)*'Devel Overrides'!$F$19</f>
        <v>0</v>
      </c>
      <c r="AH125" s="387">
        <f>IF(OR($AB125=0,$AB125&gt;40),0,INDEX('Devel Overrides'!I$28:I$68,$AB125+1,1)*$AB$86+INDEX('Devel Overrides'!I$28:I$68,$AB125,1)*$AC$87)*'Devel Overrides'!$F$19</f>
        <v>0</v>
      </c>
      <c r="AI125" s="387">
        <f>IF(OR($AB125=0,$AB125&gt;40),0,INDEX('Devel Overrides'!J$28:J$68,$AB125+1,1)*$AB$86+INDEX('Devel Overrides'!J$28:J$68,$AB125,1)*$AC$87)*'Devel Overrides'!$F$19</f>
        <v>0</v>
      </c>
      <c r="AJ125" s="387">
        <f>IF(OR($AB125=0,$AB125&gt;40),0,INDEX('Devel Overrides'!K$28:K$68,$AB125+1,1)*$AB$86+INDEX('Devel Overrides'!K$28:K$68,$AB125,1)*$AC$87)*'Devel Overrides'!$F$19</f>
        <v>0</v>
      </c>
      <c r="AK125" s="387">
        <f>IF(OR($AB125=0,$AB125&gt;40),0,INDEX('Devel Overrides'!L$28:L$68,$AB125+1,1)*$AB$86+INDEX('Devel Overrides'!L$28:L$68,$AB125,1)*$AC$87)*'Devel Overrides'!$F$19</f>
        <v>0</v>
      </c>
      <c r="AL125" s="64"/>
      <c r="AM125" s="109">
        <f>B125*'Selected Economics'!$J44*'Sensitivity Ranges'!$F$43</f>
        <v>0</v>
      </c>
      <c r="AN125" s="109">
        <f>IF($AB$85=1,AC125,Q125)*'Selected Economics'!$J44*'Sensitivity Ranges'!$F$43</f>
        <v>0</v>
      </c>
      <c r="AO125" s="109">
        <f>IF($AB$85=1,AD125,R125)*'Selected Economics'!$J44*'Sensitivity Ranges'!$F$43</f>
        <v>0</v>
      </c>
      <c r="AP125" s="109">
        <f>IF($AB$85=1,AE125,S125)*'Selected Economics'!$J44*'Sensitivity Ranges'!$F$43</f>
        <v>0</v>
      </c>
      <c r="AQ125" s="109">
        <f>IF($AB$85=1,AF125,T125)*'Selected Economics'!$J44*'Sensitivity Ranges'!$F$43</f>
        <v>0</v>
      </c>
      <c r="AR125" s="109">
        <f>IF($AB$85=1,AG125,U125)*'Selected Economics'!$J44*'Sensitivity Ranges'!$F$43</f>
        <v>0</v>
      </c>
      <c r="AS125" s="109">
        <f>IF($AB$85=1,AH125,V125)*'Selected Economics'!$J44*'Sensitivity Ranges'!$F$43</f>
        <v>0</v>
      </c>
      <c r="AT125" s="109">
        <f>IF($AB$85=1,AI125,W125)*'Selected Economics'!$J44*'Sensitivity Ranges'!$F$43</f>
        <v>0</v>
      </c>
      <c r="AU125" s="109">
        <f>IF($AB$85=1,AJ125,X125)*'Selected Economics'!$J44*'Sensitivity Ranges'!$F$43</f>
        <v>0</v>
      </c>
      <c r="AV125" s="109">
        <f>IF($AB$85=1,AK125,Y125)*'Selected Economics'!$J44*'Sensitivity Ranges'!$F$43</f>
        <v>0</v>
      </c>
      <c r="AW125" s="109">
        <f t="shared" si="51"/>
        <v>0</v>
      </c>
      <c r="AX125" s="121"/>
      <c r="AY125" s="109">
        <f t="shared" si="57"/>
        <v>0</v>
      </c>
      <c r="AZ125" s="109">
        <f>AN125*Abandonment!$H49</f>
        <v>0</v>
      </c>
      <c r="BA125" s="109">
        <f>AO125*Abandonment!$H49</f>
        <v>0</v>
      </c>
      <c r="BB125" s="109">
        <f>AP125*Abandonment!$H49</f>
        <v>0</v>
      </c>
      <c r="BC125" s="109">
        <f>AQ125*Abandonment!$H49</f>
        <v>0</v>
      </c>
      <c r="BD125" s="109">
        <f>AR125*Abandonment!$H49</f>
        <v>0</v>
      </c>
      <c r="BE125" s="109">
        <f>AS125*Abandonment!$H49</f>
        <v>0</v>
      </c>
      <c r="BF125" s="109">
        <f>AT125*Abandonment!$H49</f>
        <v>0</v>
      </c>
      <c r="BG125" s="109">
        <f>AU125*Abandonment!$H49</f>
        <v>0</v>
      </c>
      <c r="BH125" s="109">
        <f>AV125*Abandonment!$H49</f>
        <v>0</v>
      </c>
      <c r="BI125" s="109">
        <f t="shared" si="52"/>
        <v>0</v>
      </c>
      <c r="BJ125" s="121"/>
      <c r="BK125" s="109">
        <f>AZ125+Exploration!R70</f>
        <v>0</v>
      </c>
      <c r="BL125" s="109">
        <f>AY125+(BA125+BB125+BC125+IF(Input!$B$17="Shore",0,Development!BD125)+BE125)*(1+'Cost Assumptions'!$O$101)+BF125</f>
        <v>0</v>
      </c>
      <c r="BM125" s="109">
        <f>IF(Input!$B$17="Shore",Development!BD125,0)*(1+'Cost Assumptions'!$O$101)+BG125</f>
        <v>0</v>
      </c>
      <c r="BN125" s="105"/>
      <c r="BO125" s="105"/>
      <c r="BP125" s="109">
        <f t="shared" si="37"/>
        <v>0</v>
      </c>
      <c r="BQ125" s="145"/>
      <c r="BR125" s="105"/>
      <c r="BS125" s="109">
        <f t="shared" ca="1" si="38"/>
        <v>0</v>
      </c>
      <c r="BT125" s="109">
        <f t="shared" ca="1" si="39"/>
        <v>0</v>
      </c>
      <c r="BU125" s="109">
        <f t="shared" ca="1" si="40"/>
        <v>0</v>
      </c>
      <c r="BV125" s="109">
        <f t="shared" ca="1" si="41"/>
        <v>0</v>
      </c>
      <c r="BW125" s="109">
        <f t="shared" ca="1" si="42"/>
        <v>0</v>
      </c>
      <c r="BX125" s="109">
        <f t="shared" ca="1" si="43"/>
        <v>0</v>
      </c>
      <c r="BY125" s="109">
        <f t="shared" ca="1" si="44"/>
        <v>0</v>
      </c>
      <c r="BZ125" s="109">
        <f t="shared" ca="1" si="45"/>
        <v>0</v>
      </c>
      <c r="CA125" s="109">
        <f t="shared" ca="1" si="46"/>
        <v>0</v>
      </c>
      <c r="CB125" s="109">
        <f t="shared" ca="1" si="47"/>
        <v>0</v>
      </c>
      <c r="CC125" s="109">
        <f t="shared" ca="1" si="53"/>
        <v>0</v>
      </c>
      <c r="CD125" s="109"/>
      <c r="CE125" s="109">
        <f t="shared" si="54"/>
        <v>0</v>
      </c>
    </row>
    <row r="126" spans="1:83">
      <c r="A126" s="90">
        <f t="shared" si="55"/>
        <v>2057</v>
      </c>
      <c r="B126" s="109">
        <f t="shared" si="32"/>
        <v>0</v>
      </c>
      <c r="C126" s="109">
        <f t="shared" si="61"/>
        <v>0</v>
      </c>
      <c r="D126" s="109">
        <f t="shared" si="61"/>
        <v>0</v>
      </c>
      <c r="E126" s="109">
        <f t="shared" si="61"/>
        <v>0</v>
      </c>
      <c r="F126" s="109">
        <f t="shared" si="61"/>
        <v>0</v>
      </c>
      <c r="G126" s="109">
        <f t="shared" si="61"/>
        <v>0</v>
      </c>
      <c r="H126" s="109">
        <f t="shared" si="61"/>
        <v>0</v>
      </c>
      <c r="I126" s="109">
        <f t="shared" si="61"/>
        <v>0</v>
      </c>
      <c r="J126" s="109">
        <f t="shared" si="61"/>
        <v>0</v>
      </c>
      <c r="K126" s="109">
        <f t="shared" si="61"/>
        <v>0</v>
      </c>
      <c r="L126" s="109">
        <f t="shared" si="61"/>
        <v>0</v>
      </c>
      <c r="M126" s="109">
        <f t="shared" si="61"/>
        <v>0</v>
      </c>
      <c r="N126" s="109">
        <f t="shared" si="61"/>
        <v>0</v>
      </c>
      <c r="O126" s="109">
        <f t="shared" si="61"/>
        <v>0</v>
      </c>
      <c r="P126" s="109">
        <f t="shared" si="61"/>
        <v>0</v>
      </c>
      <c r="Q126" s="109">
        <f t="shared" si="48"/>
        <v>0</v>
      </c>
      <c r="R126" s="109">
        <f t="shared" si="60"/>
        <v>0</v>
      </c>
      <c r="S126" s="109">
        <f t="shared" si="60"/>
        <v>0</v>
      </c>
      <c r="T126" s="109">
        <f t="shared" si="60"/>
        <v>0</v>
      </c>
      <c r="U126" s="109">
        <f t="shared" si="60"/>
        <v>0</v>
      </c>
      <c r="V126" s="109">
        <f>'Cost Assumptions'!$O$100*SUM(Development!R126:U126)</f>
        <v>0</v>
      </c>
      <c r="W126" s="109">
        <f t="shared" si="56"/>
        <v>0</v>
      </c>
      <c r="X126" s="109">
        <f t="shared" si="49"/>
        <v>0</v>
      </c>
      <c r="Y126" s="109">
        <f>'Cost Assumptions'!$O$101*SUM(Development!R126:V126)</f>
        <v>0</v>
      </c>
      <c r="Z126" s="109">
        <f t="shared" si="35"/>
        <v>0</v>
      </c>
      <c r="AA126" s="121"/>
      <c r="AB126" s="148">
        <f t="shared" si="36"/>
        <v>29</v>
      </c>
      <c r="AC126" s="387">
        <f>IF(OR($AB126=0,$AB126&gt;40),0,INDEX('Devel Overrides'!D$28:D$68,$AB126+1,1)*$AB$86+INDEX('Devel Overrides'!D$28:D$68,$AB126,1)*$AC$87)*'Devel Overrides'!$F$19</f>
        <v>0</v>
      </c>
      <c r="AD126" s="387">
        <f>IF(OR($AB126=0,$AB126&gt;40),0,INDEX('Devel Overrides'!E$28:E$68,$AB126+1,1)*$AB$86+INDEX('Devel Overrides'!E$28:E$68,$AB126,1)*$AC$87)*'Devel Overrides'!$F$19</f>
        <v>0</v>
      </c>
      <c r="AE126" s="387">
        <f>IF(OR($AB126=0,$AB126&gt;40),0,INDEX('Devel Overrides'!F$28:F$68,$AB126+1,1)*$AB$86+INDEX('Devel Overrides'!F$28:F$68,$AB126,1)*$AC$87)*'Devel Overrides'!$F$19</f>
        <v>0</v>
      </c>
      <c r="AF126" s="387">
        <f>IF(OR($AB126=0,$AB126&gt;40),0,INDEX('Devel Overrides'!G$28:G$68,$AB126+1,1)*$AB$86+INDEX('Devel Overrides'!G$28:G$68,$AB126,1)*$AC$87)*'Devel Overrides'!$F$19</f>
        <v>0</v>
      </c>
      <c r="AG126" s="387">
        <f>IF(OR($AB126=0,$AB126&gt;40),0,INDEX('Devel Overrides'!H$28:H$68,$AB126+1,1)*$AB$86+INDEX('Devel Overrides'!H$28:H$68,$AB126,1)*$AC$87)*'Devel Overrides'!$F$19</f>
        <v>0</v>
      </c>
      <c r="AH126" s="387">
        <f>IF(OR($AB126=0,$AB126&gt;40),0,INDEX('Devel Overrides'!I$28:I$68,$AB126+1,1)*$AB$86+INDEX('Devel Overrides'!I$28:I$68,$AB126,1)*$AC$87)*'Devel Overrides'!$F$19</f>
        <v>0</v>
      </c>
      <c r="AI126" s="387">
        <f>IF(OR($AB126=0,$AB126&gt;40),0,INDEX('Devel Overrides'!J$28:J$68,$AB126+1,1)*$AB$86+INDEX('Devel Overrides'!J$28:J$68,$AB126,1)*$AC$87)*'Devel Overrides'!$F$19</f>
        <v>0</v>
      </c>
      <c r="AJ126" s="387">
        <f>IF(OR($AB126=0,$AB126&gt;40),0,INDEX('Devel Overrides'!K$28:K$68,$AB126+1,1)*$AB$86+INDEX('Devel Overrides'!K$28:K$68,$AB126,1)*$AC$87)*'Devel Overrides'!$F$19</f>
        <v>0</v>
      </c>
      <c r="AK126" s="387">
        <f>IF(OR($AB126=0,$AB126&gt;40),0,INDEX('Devel Overrides'!L$28:L$68,$AB126+1,1)*$AB$86+INDEX('Devel Overrides'!L$28:L$68,$AB126,1)*$AC$87)*'Devel Overrides'!$F$19</f>
        <v>0</v>
      </c>
      <c r="AL126" s="64"/>
      <c r="AM126" s="109">
        <f>B126*'Selected Economics'!$J45*'Sensitivity Ranges'!$F$43</f>
        <v>0</v>
      </c>
      <c r="AN126" s="109">
        <f>IF($AB$85=1,AC126,Q126)*'Selected Economics'!$J45*'Sensitivity Ranges'!$F$43</f>
        <v>0</v>
      </c>
      <c r="AO126" s="109">
        <f>IF($AB$85=1,AD126,R126)*'Selected Economics'!$J45*'Sensitivity Ranges'!$F$43</f>
        <v>0</v>
      </c>
      <c r="AP126" s="109">
        <f>IF($AB$85=1,AE126,S126)*'Selected Economics'!$J45*'Sensitivity Ranges'!$F$43</f>
        <v>0</v>
      </c>
      <c r="AQ126" s="109">
        <f>IF($AB$85=1,AF126,T126)*'Selected Economics'!$J45*'Sensitivity Ranges'!$F$43</f>
        <v>0</v>
      </c>
      <c r="AR126" s="109">
        <f>IF($AB$85=1,AG126,U126)*'Selected Economics'!$J45*'Sensitivity Ranges'!$F$43</f>
        <v>0</v>
      </c>
      <c r="AS126" s="109">
        <f>IF($AB$85=1,AH126,V126)*'Selected Economics'!$J45*'Sensitivity Ranges'!$F$43</f>
        <v>0</v>
      </c>
      <c r="AT126" s="109">
        <f>IF($AB$85=1,AI126,W126)*'Selected Economics'!$J45*'Sensitivity Ranges'!$F$43</f>
        <v>0</v>
      </c>
      <c r="AU126" s="109">
        <f>IF($AB$85=1,AJ126,X126)*'Selected Economics'!$J45*'Sensitivity Ranges'!$F$43</f>
        <v>0</v>
      </c>
      <c r="AV126" s="109">
        <f>IF($AB$85=1,AK126,Y126)*'Selected Economics'!$J45*'Sensitivity Ranges'!$F$43</f>
        <v>0</v>
      </c>
      <c r="AW126" s="109">
        <f t="shared" si="51"/>
        <v>0</v>
      </c>
      <c r="AX126" s="121"/>
      <c r="AY126" s="109">
        <f t="shared" si="57"/>
        <v>0</v>
      </c>
      <c r="AZ126" s="109">
        <f>AN126*Abandonment!$H50</f>
        <v>0</v>
      </c>
      <c r="BA126" s="109">
        <f>AO126*Abandonment!$H50</f>
        <v>0</v>
      </c>
      <c r="BB126" s="109">
        <f>AP126*Abandonment!$H50</f>
        <v>0</v>
      </c>
      <c r="BC126" s="109">
        <f>AQ126*Abandonment!$H50</f>
        <v>0</v>
      </c>
      <c r="BD126" s="109">
        <f>AR126*Abandonment!$H50</f>
        <v>0</v>
      </c>
      <c r="BE126" s="109">
        <f>AS126*Abandonment!$H50</f>
        <v>0</v>
      </c>
      <c r="BF126" s="109">
        <f>AT126*Abandonment!$H50</f>
        <v>0</v>
      </c>
      <c r="BG126" s="109">
        <f>AU126*Abandonment!$H50</f>
        <v>0</v>
      </c>
      <c r="BH126" s="109">
        <f>AV126*Abandonment!$H50</f>
        <v>0</v>
      </c>
      <c r="BI126" s="109">
        <f t="shared" si="52"/>
        <v>0</v>
      </c>
      <c r="BJ126" s="121"/>
      <c r="BK126" s="109">
        <f>AZ126+Exploration!R71</f>
        <v>0</v>
      </c>
      <c r="BL126" s="109">
        <f>AY126+(BA126+BB126+BC126+IF(Input!$B$17="Shore",0,Development!BD126)+BE126)*(1+'Cost Assumptions'!$O$101)+BF126</f>
        <v>0</v>
      </c>
      <c r="BM126" s="109">
        <f>IF(Input!$B$17="Shore",Development!BD126,0)*(1+'Cost Assumptions'!$O$101)+BG126</f>
        <v>0</v>
      </c>
      <c r="BN126" s="105"/>
      <c r="BO126" s="105"/>
      <c r="BP126" s="109">
        <f t="shared" si="37"/>
        <v>0</v>
      </c>
      <c r="BQ126" s="145"/>
      <c r="BR126" s="105"/>
      <c r="BS126" s="109">
        <f t="shared" ca="1" si="38"/>
        <v>0</v>
      </c>
      <c r="BT126" s="109">
        <f t="shared" ca="1" si="39"/>
        <v>0</v>
      </c>
      <c r="BU126" s="109">
        <f t="shared" ca="1" si="40"/>
        <v>0</v>
      </c>
      <c r="BV126" s="109">
        <f t="shared" ca="1" si="41"/>
        <v>0</v>
      </c>
      <c r="BW126" s="109">
        <f t="shared" ca="1" si="42"/>
        <v>0</v>
      </c>
      <c r="BX126" s="109">
        <f t="shared" ca="1" si="43"/>
        <v>0</v>
      </c>
      <c r="BY126" s="109">
        <f t="shared" ca="1" si="44"/>
        <v>0</v>
      </c>
      <c r="BZ126" s="109">
        <f t="shared" ca="1" si="45"/>
        <v>0</v>
      </c>
      <c r="CA126" s="109">
        <f t="shared" ca="1" si="46"/>
        <v>0</v>
      </c>
      <c r="CB126" s="109">
        <f t="shared" ca="1" si="47"/>
        <v>0</v>
      </c>
      <c r="CC126" s="109">
        <f t="shared" ca="1" si="53"/>
        <v>0</v>
      </c>
      <c r="CD126" s="109"/>
      <c r="CE126" s="109">
        <f t="shared" si="54"/>
        <v>0</v>
      </c>
    </row>
    <row r="127" spans="1:83">
      <c r="A127" s="90">
        <f t="shared" si="55"/>
        <v>2058</v>
      </c>
      <c r="B127" s="109">
        <f t="shared" si="32"/>
        <v>0</v>
      </c>
      <c r="C127" s="109">
        <f t="shared" si="61"/>
        <v>0</v>
      </c>
      <c r="D127" s="109">
        <f t="shared" si="61"/>
        <v>0</v>
      </c>
      <c r="E127" s="109">
        <f t="shared" si="61"/>
        <v>0</v>
      </c>
      <c r="F127" s="109">
        <f t="shared" si="61"/>
        <v>0</v>
      </c>
      <c r="G127" s="109">
        <f t="shared" si="61"/>
        <v>0</v>
      </c>
      <c r="H127" s="109">
        <f t="shared" si="61"/>
        <v>0</v>
      </c>
      <c r="I127" s="109">
        <f t="shared" si="61"/>
        <v>0</v>
      </c>
      <c r="J127" s="109">
        <f t="shared" si="61"/>
        <v>0</v>
      </c>
      <c r="K127" s="109">
        <f t="shared" si="61"/>
        <v>0</v>
      </c>
      <c r="L127" s="109">
        <f t="shared" si="61"/>
        <v>0</v>
      </c>
      <c r="M127" s="109">
        <f t="shared" si="61"/>
        <v>0</v>
      </c>
      <c r="N127" s="109">
        <f t="shared" si="61"/>
        <v>0</v>
      </c>
      <c r="O127" s="109">
        <f t="shared" si="61"/>
        <v>0</v>
      </c>
      <c r="P127" s="109">
        <f t="shared" si="61"/>
        <v>0</v>
      </c>
      <c r="Q127" s="109">
        <f t="shared" si="48"/>
        <v>0</v>
      </c>
      <c r="R127" s="109">
        <f t="shared" si="60"/>
        <v>0</v>
      </c>
      <c r="S127" s="109">
        <f t="shared" si="60"/>
        <v>0</v>
      </c>
      <c r="T127" s="109">
        <f t="shared" si="60"/>
        <v>0</v>
      </c>
      <c r="U127" s="109">
        <f t="shared" si="60"/>
        <v>0</v>
      </c>
      <c r="V127" s="109">
        <f>'Cost Assumptions'!$O$100*SUM(Development!R127:U127)</f>
        <v>0</v>
      </c>
      <c r="W127" s="109">
        <f t="shared" si="56"/>
        <v>0</v>
      </c>
      <c r="X127" s="109">
        <f t="shared" si="49"/>
        <v>0</v>
      </c>
      <c r="Y127" s="109">
        <f>'Cost Assumptions'!$O$101*SUM(Development!R127:V127)</f>
        <v>0</v>
      </c>
      <c r="Z127" s="109">
        <f t="shared" si="35"/>
        <v>0</v>
      </c>
      <c r="AA127" s="121"/>
      <c r="AB127" s="148">
        <f t="shared" si="36"/>
        <v>30</v>
      </c>
      <c r="AC127" s="387">
        <f>IF(OR($AB127=0,$AB127&gt;40),0,INDEX('Devel Overrides'!D$28:D$68,$AB127+1,1)*$AB$86+INDEX('Devel Overrides'!D$28:D$68,$AB127,1)*$AC$87)*'Devel Overrides'!$F$19</f>
        <v>0</v>
      </c>
      <c r="AD127" s="387">
        <f>IF(OR($AB127=0,$AB127&gt;40),0,INDEX('Devel Overrides'!E$28:E$68,$AB127+1,1)*$AB$86+INDEX('Devel Overrides'!E$28:E$68,$AB127,1)*$AC$87)*'Devel Overrides'!$F$19</f>
        <v>0</v>
      </c>
      <c r="AE127" s="387">
        <f>IF(OR($AB127=0,$AB127&gt;40),0,INDEX('Devel Overrides'!F$28:F$68,$AB127+1,1)*$AB$86+INDEX('Devel Overrides'!F$28:F$68,$AB127,1)*$AC$87)*'Devel Overrides'!$F$19</f>
        <v>0</v>
      </c>
      <c r="AF127" s="387">
        <f>IF(OR($AB127=0,$AB127&gt;40),0,INDEX('Devel Overrides'!G$28:G$68,$AB127+1,1)*$AB$86+INDEX('Devel Overrides'!G$28:G$68,$AB127,1)*$AC$87)*'Devel Overrides'!$F$19</f>
        <v>0</v>
      </c>
      <c r="AG127" s="387">
        <f>IF(OR($AB127=0,$AB127&gt;40),0,INDEX('Devel Overrides'!H$28:H$68,$AB127+1,1)*$AB$86+INDEX('Devel Overrides'!H$28:H$68,$AB127,1)*$AC$87)*'Devel Overrides'!$F$19</f>
        <v>0</v>
      </c>
      <c r="AH127" s="387">
        <f>IF(OR($AB127=0,$AB127&gt;40),0,INDEX('Devel Overrides'!I$28:I$68,$AB127+1,1)*$AB$86+INDEX('Devel Overrides'!I$28:I$68,$AB127,1)*$AC$87)*'Devel Overrides'!$F$19</f>
        <v>0</v>
      </c>
      <c r="AI127" s="387">
        <f>IF(OR($AB127=0,$AB127&gt;40),0,INDEX('Devel Overrides'!J$28:J$68,$AB127+1,1)*$AB$86+INDEX('Devel Overrides'!J$28:J$68,$AB127,1)*$AC$87)*'Devel Overrides'!$F$19</f>
        <v>0</v>
      </c>
      <c r="AJ127" s="387">
        <f>IF(OR($AB127=0,$AB127&gt;40),0,INDEX('Devel Overrides'!K$28:K$68,$AB127+1,1)*$AB$86+INDEX('Devel Overrides'!K$28:K$68,$AB127,1)*$AC$87)*'Devel Overrides'!$F$19</f>
        <v>0</v>
      </c>
      <c r="AK127" s="387">
        <f>IF(OR($AB127=0,$AB127&gt;40),0,INDEX('Devel Overrides'!L$28:L$68,$AB127+1,1)*$AB$86+INDEX('Devel Overrides'!L$28:L$68,$AB127,1)*$AC$87)*'Devel Overrides'!$F$19</f>
        <v>0</v>
      </c>
      <c r="AL127" s="64"/>
      <c r="AM127" s="109">
        <f>B127*'Selected Economics'!$J46*'Sensitivity Ranges'!$F$43</f>
        <v>0</v>
      </c>
      <c r="AN127" s="109">
        <f>IF($AB$85=1,AC127,Q127)*'Selected Economics'!$J46*'Sensitivity Ranges'!$F$43</f>
        <v>0</v>
      </c>
      <c r="AO127" s="109">
        <f>IF($AB$85=1,AD127,R127)*'Selected Economics'!$J46*'Sensitivity Ranges'!$F$43</f>
        <v>0</v>
      </c>
      <c r="AP127" s="109">
        <f>IF($AB$85=1,AE127,S127)*'Selected Economics'!$J46*'Sensitivity Ranges'!$F$43</f>
        <v>0</v>
      </c>
      <c r="AQ127" s="109">
        <f>IF($AB$85=1,AF127,T127)*'Selected Economics'!$J46*'Sensitivity Ranges'!$F$43</f>
        <v>0</v>
      </c>
      <c r="AR127" s="109">
        <f>IF($AB$85=1,AG127,U127)*'Selected Economics'!$J46*'Sensitivity Ranges'!$F$43</f>
        <v>0</v>
      </c>
      <c r="AS127" s="109">
        <f>IF($AB$85=1,AH127,V127)*'Selected Economics'!$J46*'Sensitivity Ranges'!$F$43</f>
        <v>0</v>
      </c>
      <c r="AT127" s="109">
        <f>IF($AB$85=1,AI127,W127)*'Selected Economics'!$J46*'Sensitivity Ranges'!$F$43</f>
        <v>0</v>
      </c>
      <c r="AU127" s="109">
        <f>IF($AB$85=1,AJ127,X127)*'Selected Economics'!$J46*'Sensitivity Ranges'!$F$43</f>
        <v>0</v>
      </c>
      <c r="AV127" s="109">
        <f>IF($AB$85=1,AK127,Y127)*'Selected Economics'!$J46*'Sensitivity Ranges'!$F$43</f>
        <v>0</v>
      </c>
      <c r="AW127" s="109">
        <f t="shared" si="51"/>
        <v>0</v>
      </c>
      <c r="AX127" s="121"/>
      <c r="AY127" s="109">
        <f t="shared" si="57"/>
        <v>0</v>
      </c>
      <c r="AZ127" s="109">
        <f>AN127*Abandonment!$H51</f>
        <v>0</v>
      </c>
      <c r="BA127" s="109">
        <f>AO127*Abandonment!$H51</f>
        <v>0</v>
      </c>
      <c r="BB127" s="109">
        <f>AP127*Abandonment!$H51</f>
        <v>0</v>
      </c>
      <c r="BC127" s="109">
        <f>AQ127*Abandonment!$H51</f>
        <v>0</v>
      </c>
      <c r="BD127" s="109">
        <f>AR127*Abandonment!$H51</f>
        <v>0</v>
      </c>
      <c r="BE127" s="109">
        <f>AS127*Abandonment!$H51</f>
        <v>0</v>
      </c>
      <c r="BF127" s="109">
        <f>AT127*Abandonment!$H51</f>
        <v>0</v>
      </c>
      <c r="BG127" s="109">
        <f>AU127*Abandonment!$H51</f>
        <v>0</v>
      </c>
      <c r="BH127" s="109">
        <f>AV127*Abandonment!$H51</f>
        <v>0</v>
      </c>
      <c r="BI127" s="109">
        <f t="shared" si="52"/>
        <v>0</v>
      </c>
      <c r="BJ127" s="121"/>
      <c r="BK127" s="109">
        <f>AZ127+Exploration!R72</f>
        <v>0</v>
      </c>
      <c r="BL127" s="109">
        <f>AY127+(BA127+BB127+BC127+IF(Input!$B$17="Shore",0,Development!BD127)+BE127)*(1+'Cost Assumptions'!$O$101)+BF127</f>
        <v>0</v>
      </c>
      <c r="BM127" s="109">
        <f>IF(Input!$B$17="Shore",Development!BD127,0)*(1+'Cost Assumptions'!$O$101)+BG127</f>
        <v>0</v>
      </c>
      <c r="BN127" s="105"/>
      <c r="BO127" s="105"/>
      <c r="BP127" s="109">
        <f t="shared" si="37"/>
        <v>0</v>
      </c>
      <c r="BQ127" s="145"/>
      <c r="BR127" s="105"/>
      <c r="BS127" s="109">
        <f t="shared" ca="1" si="38"/>
        <v>0</v>
      </c>
      <c r="BT127" s="109">
        <f t="shared" ca="1" si="39"/>
        <v>0</v>
      </c>
      <c r="BU127" s="109">
        <f t="shared" ca="1" si="40"/>
        <v>0</v>
      </c>
      <c r="BV127" s="109">
        <f t="shared" ca="1" si="41"/>
        <v>0</v>
      </c>
      <c r="BW127" s="109">
        <f t="shared" ca="1" si="42"/>
        <v>0</v>
      </c>
      <c r="BX127" s="109">
        <f t="shared" ca="1" si="43"/>
        <v>0</v>
      </c>
      <c r="BY127" s="109">
        <f t="shared" ca="1" si="44"/>
        <v>0</v>
      </c>
      <c r="BZ127" s="109">
        <f t="shared" ca="1" si="45"/>
        <v>0</v>
      </c>
      <c r="CA127" s="109">
        <f t="shared" ca="1" si="46"/>
        <v>0</v>
      </c>
      <c r="CB127" s="109">
        <f t="shared" ca="1" si="47"/>
        <v>0</v>
      </c>
      <c r="CC127" s="109">
        <f t="shared" ca="1" si="53"/>
        <v>0</v>
      </c>
      <c r="CD127" s="109"/>
      <c r="CE127" s="109">
        <f t="shared" si="54"/>
        <v>0</v>
      </c>
    </row>
    <row r="128" spans="1:83">
      <c r="A128" s="90">
        <f t="shared" si="55"/>
        <v>2059</v>
      </c>
      <c r="B128" s="109">
        <f t="shared" si="32"/>
        <v>0</v>
      </c>
      <c r="C128" s="109">
        <f t="shared" si="61"/>
        <v>0</v>
      </c>
      <c r="D128" s="109">
        <f t="shared" si="61"/>
        <v>0</v>
      </c>
      <c r="E128" s="109">
        <f t="shared" si="61"/>
        <v>0</v>
      </c>
      <c r="F128" s="109">
        <f t="shared" si="61"/>
        <v>0</v>
      </c>
      <c r="G128" s="109">
        <f t="shared" si="61"/>
        <v>0</v>
      </c>
      <c r="H128" s="109">
        <f t="shared" si="61"/>
        <v>0</v>
      </c>
      <c r="I128" s="109">
        <f t="shared" si="61"/>
        <v>0</v>
      </c>
      <c r="J128" s="109">
        <f t="shared" si="61"/>
        <v>0</v>
      </c>
      <c r="K128" s="109">
        <f t="shared" si="61"/>
        <v>0</v>
      </c>
      <c r="L128" s="109">
        <f t="shared" si="61"/>
        <v>0</v>
      </c>
      <c r="M128" s="109">
        <f t="shared" si="61"/>
        <v>0</v>
      </c>
      <c r="N128" s="109">
        <f t="shared" si="61"/>
        <v>0</v>
      </c>
      <c r="O128" s="109">
        <f t="shared" si="61"/>
        <v>0</v>
      </c>
      <c r="P128" s="109">
        <f t="shared" si="61"/>
        <v>0</v>
      </c>
      <c r="Q128" s="109">
        <f t="shared" si="48"/>
        <v>0</v>
      </c>
      <c r="R128" s="109">
        <f t="shared" si="60"/>
        <v>0</v>
      </c>
      <c r="S128" s="109">
        <f t="shared" si="60"/>
        <v>0</v>
      </c>
      <c r="T128" s="109">
        <f t="shared" si="60"/>
        <v>0</v>
      </c>
      <c r="U128" s="109">
        <f t="shared" si="60"/>
        <v>0</v>
      </c>
      <c r="V128" s="109">
        <f>'Cost Assumptions'!$O$100*SUM(Development!R128:U128)</f>
        <v>0</v>
      </c>
      <c r="W128" s="109">
        <f t="shared" si="56"/>
        <v>0</v>
      </c>
      <c r="X128" s="109">
        <f t="shared" si="49"/>
        <v>0</v>
      </c>
      <c r="Y128" s="109">
        <f>'Cost Assumptions'!$O$101*SUM(Development!R128:V128)</f>
        <v>0</v>
      </c>
      <c r="Z128" s="109">
        <f t="shared" si="35"/>
        <v>0</v>
      </c>
      <c r="AA128" s="121"/>
      <c r="AB128" s="148">
        <f t="shared" si="36"/>
        <v>31</v>
      </c>
      <c r="AC128" s="387">
        <f>IF(OR($AB128=0,$AB128&gt;40),0,INDEX('Devel Overrides'!D$28:D$68,$AB128+1,1)*$AB$86+INDEX('Devel Overrides'!D$28:D$68,$AB128,1)*$AC$87)*'Devel Overrides'!$F$19</f>
        <v>0</v>
      </c>
      <c r="AD128" s="387">
        <f>IF(OR($AB128=0,$AB128&gt;40),0,INDEX('Devel Overrides'!E$28:E$68,$AB128+1,1)*$AB$86+INDEX('Devel Overrides'!E$28:E$68,$AB128,1)*$AC$87)*'Devel Overrides'!$F$19</f>
        <v>0</v>
      </c>
      <c r="AE128" s="387">
        <f>IF(OR($AB128=0,$AB128&gt;40),0,INDEX('Devel Overrides'!F$28:F$68,$AB128+1,1)*$AB$86+INDEX('Devel Overrides'!F$28:F$68,$AB128,1)*$AC$87)*'Devel Overrides'!$F$19</f>
        <v>0</v>
      </c>
      <c r="AF128" s="387">
        <f>IF(OR($AB128=0,$AB128&gt;40),0,INDEX('Devel Overrides'!G$28:G$68,$AB128+1,1)*$AB$86+INDEX('Devel Overrides'!G$28:G$68,$AB128,1)*$AC$87)*'Devel Overrides'!$F$19</f>
        <v>0</v>
      </c>
      <c r="AG128" s="387">
        <f>IF(OR($AB128=0,$AB128&gt;40),0,INDEX('Devel Overrides'!H$28:H$68,$AB128+1,1)*$AB$86+INDEX('Devel Overrides'!H$28:H$68,$AB128,1)*$AC$87)*'Devel Overrides'!$F$19</f>
        <v>0</v>
      </c>
      <c r="AH128" s="387">
        <f>IF(OR($AB128=0,$AB128&gt;40),0,INDEX('Devel Overrides'!I$28:I$68,$AB128+1,1)*$AB$86+INDEX('Devel Overrides'!I$28:I$68,$AB128,1)*$AC$87)*'Devel Overrides'!$F$19</f>
        <v>0</v>
      </c>
      <c r="AI128" s="387">
        <f>IF(OR($AB128=0,$AB128&gt;40),0,INDEX('Devel Overrides'!J$28:J$68,$AB128+1,1)*$AB$86+INDEX('Devel Overrides'!J$28:J$68,$AB128,1)*$AC$87)*'Devel Overrides'!$F$19</f>
        <v>0</v>
      </c>
      <c r="AJ128" s="387">
        <f>IF(OR($AB128=0,$AB128&gt;40),0,INDEX('Devel Overrides'!K$28:K$68,$AB128+1,1)*$AB$86+INDEX('Devel Overrides'!K$28:K$68,$AB128,1)*$AC$87)*'Devel Overrides'!$F$19</f>
        <v>0</v>
      </c>
      <c r="AK128" s="387">
        <f>IF(OR($AB128=0,$AB128&gt;40),0,INDEX('Devel Overrides'!L$28:L$68,$AB128+1,1)*$AB$86+INDEX('Devel Overrides'!L$28:L$68,$AB128,1)*$AC$87)*'Devel Overrides'!$F$19</f>
        <v>0</v>
      </c>
      <c r="AL128" s="64"/>
      <c r="AM128" s="109">
        <f>B128*'Selected Economics'!$J47*'Sensitivity Ranges'!$F$43</f>
        <v>0</v>
      </c>
      <c r="AN128" s="109">
        <f>IF($AB$85=1,AC128,Q128)*'Selected Economics'!$J47*'Sensitivity Ranges'!$F$43</f>
        <v>0</v>
      </c>
      <c r="AO128" s="109">
        <f>IF($AB$85=1,AD128,R128)*'Selected Economics'!$J47*'Sensitivity Ranges'!$F$43</f>
        <v>0</v>
      </c>
      <c r="AP128" s="109">
        <f>IF($AB$85=1,AE128,S128)*'Selected Economics'!$J47*'Sensitivity Ranges'!$F$43</f>
        <v>0</v>
      </c>
      <c r="AQ128" s="109">
        <f>IF($AB$85=1,AF128,T128)*'Selected Economics'!$J47*'Sensitivity Ranges'!$F$43</f>
        <v>0</v>
      </c>
      <c r="AR128" s="109">
        <f>IF($AB$85=1,AG128,U128)*'Selected Economics'!$J47*'Sensitivity Ranges'!$F$43</f>
        <v>0</v>
      </c>
      <c r="AS128" s="109">
        <f>IF($AB$85=1,AH128,V128)*'Selected Economics'!$J47*'Sensitivity Ranges'!$F$43</f>
        <v>0</v>
      </c>
      <c r="AT128" s="109">
        <f>IF($AB$85=1,AI128,W128)*'Selected Economics'!$J47*'Sensitivity Ranges'!$F$43</f>
        <v>0</v>
      </c>
      <c r="AU128" s="109">
        <f>IF($AB$85=1,AJ128,X128)*'Selected Economics'!$J47*'Sensitivity Ranges'!$F$43</f>
        <v>0</v>
      </c>
      <c r="AV128" s="109">
        <f>IF($AB$85=1,AK128,Y128)*'Selected Economics'!$J47*'Sensitivity Ranges'!$F$43</f>
        <v>0</v>
      </c>
      <c r="AW128" s="109">
        <f t="shared" si="51"/>
        <v>0</v>
      </c>
      <c r="AX128" s="121"/>
      <c r="AY128" s="109">
        <f t="shared" si="57"/>
        <v>0</v>
      </c>
      <c r="AZ128" s="109">
        <f>AN128*Abandonment!$H52</f>
        <v>0</v>
      </c>
      <c r="BA128" s="109">
        <f>AO128*Abandonment!$H52</f>
        <v>0</v>
      </c>
      <c r="BB128" s="109">
        <f>AP128*Abandonment!$H52</f>
        <v>0</v>
      </c>
      <c r="BC128" s="109">
        <f>AQ128*Abandonment!$H52</f>
        <v>0</v>
      </c>
      <c r="BD128" s="109">
        <f>AR128*Abandonment!$H52</f>
        <v>0</v>
      </c>
      <c r="BE128" s="109">
        <f>AS128*Abandonment!$H52</f>
        <v>0</v>
      </c>
      <c r="BF128" s="109">
        <f>AT128*Abandonment!$H52</f>
        <v>0</v>
      </c>
      <c r="BG128" s="109">
        <f>AU128*Abandonment!$H52</f>
        <v>0</v>
      </c>
      <c r="BH128" s="109">
        <f>AV128*Abandonment!$H52</f>
        <v>0</v>
      </c>
      <c r="BI128" s="109">
        <f t="shared" si="52"/>
        <v>0</v>
      </c>
      <c r="BJ128" s="121"/>
      <c r="BK128" s="109">
        <f>AZ128+Exploration!R73</f>
        <v>0</v>
      </c>
      <c r="BL128" s="109">
        <f>AY128+(BA128+BB128+BC128+IF(Input!$B$17="Shore",0,Development!BD128)+BE128)*(1+'Cost Assumptions'!$O$101)+BF128</f>
        <v>0</v>
      </c>
      <c r="BM128" s="109">
        <f>IF(Input!$B$17="Shore",Development!BD128,0)*(1+'Cost Assumptions'!$O$101)+BG128</f>
        <v>0</v>
      </c>
      <c r="BN128" s="105"/>
      <c r="BO128" s="105"/>
      <c r="BP128" s="109">
        <f t="shared" si="37"/>
        <v>0</v>
      </c>
      <c r="BQ128" s="145"/>
      <c r="BR128" s="105"/>
      <c r="BS128" s="109">
        <f t="shared" ca="1" si="38"/>
        <v>0</v>
      </c>
      <c r="BT128" s="109">
        <f t="shared" ca="1" si="39"/>
        <v>0</v>
      </c>
      <c r="BU128" s="109">
        <f t="shared" ca="1" si="40"/>
        <v>0</v>
      </c>
      <c r="BV128" s="109">
        <f t="shared" ca="1" si="41"/>
        <v>0</v>
      </c>
      <c r="BW128" s="109">
        <f t="shared" ca="1" si="42"/>
        <v>0</v>
      </c>
      <c r="BX128" s="109">
        <f t="shared" ca="1" si="43"/>
        <v>0</v>
      </c>
      <c r="BY128" s="109">
        <f t="shared" ca="1" si="44"/>
        <v>0</v>
      </c>
      <c r="BZ128" s="109">
        <f t="shared" ca="1" si="45"/>
        <v>0</v>
      </c>
      <c r="CA128" s="109">
        <f t="shared" ca="1" si="46"/>
        <v>0</v>
      </c>
      <c r="CB128" s="109">
        <f t="shared" ca="1" si="47"/>
        <v>0</v>
      </c>
      <c r="CC128" s="109">
        <f t="shared" ca="1" si="53"/>
        <v>0</v>
      </c>
      <c r="CD128" s="109"/>
      <c r="CE128" s="109">
        <f t="shared" si="54"/>
        <v>0</v>
      </c>
    </row>
    <row r="129" spans="1:83">
      <c r="A129" s="90">
        <f t="shared" si="55"/>
        <v>2060</v>
      </c>
      <c r="B129" s="109">
        <f t="shared" si="32"/>
        <v>0</v>
      </c>
      <c r="C129" s="109">
        <f t="shared" si="61"/>
        <v>0</v>
      </c>
      <c r="D129" s="109">
        <f t="shared" si="61"/>
        <v>0</v>
      </c>
      <c r="E129" s="109">
        <f t="shared" si="61"/>
        <v>0</v>
      </c>
      <c r="F129" s="109">
        <f t="shared" si="61"/>
        <v>0</v>
      </c>
      <c r="G129" s="109">
        <f t="shared" si="61"/>
        <v>0</v>
      </c>
      <c r="H129" s="109">
        <f t="shared" si="61"/>
        <v>0</v>
      </c>
      <c r="I129" s="109">
        <f t="shared" si="61"/>
        <v>0</v>
      </c>
      <c r="J129" s="109">
        <f t="shared" si="61"/>
        <v>0</v>
      </c>
      <c r="K129" s="109">
        <f t="shared" si="61"/>
        <v>0</v>
      </c>
      <c r="L129" s="109">
        <f t="shared" si="61"/>
        <v>0</v>
      </c>
      <c r="M129" s="109">
        <f t="shared" si="61"/>
        <v>0</v>
      </c>
      <c r="N129" s="109">
        <f t="shared" si="61"/>
        <v>0</v>
      </c>
      <c r="O129" s="109">
        <f t="shared" si="61"/>
        <v>0</v>
      </c>
      <c r="P129" s="109">
        <f t="shared" si="61"/>
        <v>0</v>
      </c>
      <c r="Q129" s="109">
        <f t="shared" si="48"/>
        <v>0</v>
      </c>
      <c r="R129" s="109">
        <f t="shared" si="60"/>
        <v>0</v>
      </c>
      <c r="S129" s="109">
        <f t="shared" si="60"/>
        <v>0</v>
      </c>
      <c r="T129" s="109">
        <f t="shared" si="60"/>
        <v>0</v>
      </c>
      <c r="U129" s="109">
        <f t="shared" si="60"/>
        <v>0</v>
      </c>
      <c r="V129" s="109">
        <f>'Cost Assumptions'!$O$100*SUM(Development!R129:U129)</f>
        <v>0</v>
      </c>
      <c r="W129" s="109">
        <f t="shared" si="56"/>
        <v>0</v>
      </c>
      <c r="X129" s="109">
        <f t="shared" si="49"/>
        <v>0</v>
      </c>
      <c r="Y129" s="109">
        <f>'Cost Assumptions'!$O$101*SUM(Development!R129:V129)</f>
        <v>0</v>
      </c>
      <c r="Z129" s="109">
        <f t="shared" si="35"/>
        <v>0</v>
      </c>
      <c r="AA129" s="121"/>
      <c r="AB129" s="148">
        <f t="shared" si="36"/>
        <v>32</v>
      </c>
      <c r="AC129" s="387">
        <f>IF(OR($AB129=0,$AB129&gt;40),0,INDEX('Devel Overrides'!D$28:D$68,$AB129+1,1)*$AB$86+INDEX('Devel Overrides'!D$28:D$68,$AB129,1)*$AC$87)*'Devel Overrides'!$F$19</f>
        <v>0</v>
      </c>
      <c r="AD129" s="387">
        <f>IF(OR($AB129=0,$AB129&gt;40),0,INDEX('Devel Overrides'!E$28:E$68,$AB129+1,1)*$AB$86+INDEX('Devel Overrides'!E$28:E$68,$AB129,1)*$AC$87)*'Devel Overrides'!$F$19</f>
        <v>0</v>
      </c>
      <c r="AE129" s="387">
        <f>IF(OR($AB129=0,$AB129&gt;40),0,INDEX('Devel Overrides'!F$28:F$68,$AB129+1,1)*$AB$86+INDEX('Devel Overrides'!F$28:F$68,$AB129,1)*$AC$87)*'Devel Overrides'!$F$19</f>
        <v>0</v>
      </c>
      <c r="AF129" s="387">
        <f>IF(OR($AB129=0,$AB129&gt;40),0,INDEX('Devel Overrides'!G$28:G$68,$AB129+1,1)*$AB$86+INDEX('Devel Overrides'!G$28:G$68,$AB129,1)*$AC$87)*'Devel Overrides'!$F$19</f>
        <v>0</v>
      </c>
      <c r="AG129" s="387">
        <f>IF(OR($AB129=0,$AB129&gt;40),0,INDEX('Devel Overrides'!H$28:H$68,$AB129+1,1)*$AB$86+INDEX('Devel Overrides'!H$28:H$68,$AB129,1)*$AC$87)*'Devel Overrides'!$F$19</f>
        <v>0</v>
      </c>
      <c r="AH129" s="387">
        <f>IF(OR($AB129=0,$AB129&gt;40),0,INDEX('Devel Overrides'!I$28:I$68,$AB129+1,1)*$AB$86+INDEX('Devel Overrides'!I$28:I$68,$AB129,1)*$AC$87)*'Devel Overrides'!$F$19</f>
        <v>0</v>
      </c>
      <c r="AI129" s="387">
        <f>IF(OR($AB129=0,$AB129&gt;40),0,INDEX('Devel Overrides'!J$28:J$68,$AB129+1,1)*$AB$86+INDEX('Devel Overrides'!J$28:J$68,$AB129,1)*$AC$87)*'Devel Overrides'!$F$19</f>
        <v>0</v>
      </c>
      <c r="AJ129" s="387">
        <f>IF(OR($AB129=0,$AB129&gt;40),0,INDEX('Devel Overrides'!K$28:K$68,$AB129+1,1)*$AB$86+INDEX('Devel Overrides'!K$28:K$68,$AB129,1)*$AC$87)*'Devel Overrides'!$F$19</f>
        <v>0</v>
      </c>
      <c r="AK129" s="387">
        <f>IF(OR($AB129=0,$AB129&gt;40),0,INDEX('Devel Overrides'!L$28:L$68,$AB129+1,1)*$AB$86+INDEX('Devel Overrides'!L$28:L$68,$AB129,1)*$AC$87)*'Devel Overrides'!$F$19</f>
        <v>0</v>
      </c>
      <c r="AL129" s="64"/>
      <c r="AM129" s="109">
        <f>B129*'Selected Economics'!$J48*'Sensitivity Ranges'!$F$43</f>
        <v>0</v>
      </c>
      <c r="AN129" s="109">
        <f>IF($AB$85=1,AC129,Q129)*'Selected Economics'!$J48*'Sensitivity Ranges'!$F$43</f>
        <v>0</v>
      </c>
      <c r="AO129" s="109">
        <f>IF($AB$85=1,AD129,R129)*'Selected Economics'!$J48*'Sensitivity Ranges'!$F$43</f>
        <v>0</v>
      </c>
      <c r="AP129" s="109">
        <f>IF($AB$85=1,AE129,S129)*'Selected Economics'!$J48*'Sensitivity Ranges'!$F$43</f>
        <v>0</v>
      </c>
      <c r="AQ129" s="109">
        <f>IF($AB$85=1,AF129,T129)*'Selected Economics'!$J48*'Sensitivity Ranges'!$F$43</f>
        <v>0</v>
      </c>
      <c r="AR129" s="109">
        <f>IF($AB$85=1,AG129,U129)*'Selected Economics'!$J48*'Sensitivity Ranges'!$F$43</f>
        <v>0</v>
      </c>
      <c r="AS129" s="109">
        <f>IF($AB$85=1,AH129,V129)*'Selected Economics'!$J48*'Sensitivity Ranges'!$F$43</f>
        <v>0</v>
      </c>
      <c r="AT129" s="109">
        <f>IF($AB$85=1,AI129,W129)*'Selected Economics'!$J48*'Sensitivity Ranges'!$F$43</f>
        <v>0</v>
      </c>
      <c r="AU129" s="109">
        <f>IF($AB$85=1,AJ129,X129)*'Selected Economics'!$J48*'Sensitivity Ranges'!$F$43</f>
        <v>0</v>
      </c>
      <c r="AV129" s="109">
        <f>IF($AB$85=1,AK129,Y129)*'Selected Economics'!$J48*'Sensitivity Ranges'!$F$43</f>
        <v>0</v>
      </c>
      <c r="AW129" s="109">
        <f t="shared" si="51"/>
        <v>0</v>
      </c>
      <c r="AX129" s="121"/>
      <c r="AY129" s="109">
        <f t="shared" si="57"/>
        <v>0</v>
      </c>
      <c r="AZ129" s="109">
        <f>AN129*Abandonment!$H53</f>
        <v>0</v>
      </c>
      <c r="BA129" s="109">
        <f>AO129*Abandonment!$H53</f>
        <v>0</v>
      </c>
      <c r="BB129" s="109">
        <f>AP129*Abandonment!$H53</f>
        <v>0</v>
      </c>
      <c r="BC129" s="109">
        <f>AQ129*Abandonment!$H53</f>
        <v>0</v>
      </c>
      <c r="BD129" s="109">
        <f>AR129*Abandonment!$H53</f>
        <v>0</v>
      </c>
      <c r="BE129" s="109">
        <f>AS129*Abandonment!$H53</f>
        <v>0</v>
      </c>
      <c r="BF129" s="109">
        <f>AT129*Abandonment!$H53</f>
        <v>0</v>
      </c>
      <c r="BG129" s="109">
        <f>AU129*Abandonment!$H53</f>
        <v>0</v>
      </c>
      <c r="BH129" s="109">
        <f>AV129*Abandonment!$H53</f>
        <v>0</v>
      </c>
      <c r="BI129" s="109">
        <f t="shared" si="52"/>
        <v>0</v>
      </c>
      <c r="BJ129" s="121"/>
      <c r="BK129" s="109">
        <f>AZ129+Exploration!R74</f>
        <v>0</v>
      </c>
      <c r="BL129" s="109">
        <f>AY129+(BA129+BB129+BC129+IF(Input!$B$17="Shore",0,Development!BD129)+BE129)*(1+'Cost Assumptions'!$O$101)+BF129</f>
        <v>0</v>
      </c>
      <c r="BM129" s="109">
        <f>IF(Input!$B$17="Shore",Development!BD129,0)*(1+'Cost Assumptions'!$O$101)+BG129</f>
        <v>0</v>
      </c>
      <c r="BN129" s="105"/>
      <c r="BO129" s="105"/>
      <c r="BP129" s="109">
        <f t="shared" si="37"/>
        <v>0</v>
      </c>
      <c r="BQ129" s="145"/>
      <c r="BR129" s="105"/>
      <c r="BS129" s="109">
        <f t="shared" ca="1" si="38"/>
        <v>0</v>
      </c>
      <c r="BT129" s="109">
        <f t="shared" ca="1" si="39"/>
        <v>0</v>
      </c>
      <c r="BU129" s="109">
        <f t="shared" ca="1" si="40"/>
        <v>0</v>
      </c>
      <c r="BV129" s="109">
        <f t="shared" ca="1" si="41"/>
        <v>0</v>
      </c>
      <c r="BW129" s="109">
        <f t="shared" ca="1" si="42"/>
        <v>0</v>
      </c>
      <c r="BX129" s="109">
        <f t="shared" ca="1" si="43"/>
        <v>0</v>
      </c>
      <c r="BY129" s="109">
        <f t="shared" ca="1" si="44"/>
        <v>0</v>
      </c>
      <c r="BZ129" s="109">
        <f t="shared" ca="1" si="45"/>
        <v>0</v>
      </c>
      <c r="CA129" s="109">
        <f t="shared" ca="1" si="46"/>
        <v>0</v>
      </c>
      <c r="CB129" s="109">
        <f t="shared" ca="1" si="47"/>
        <v>0</v>
      </c>
      <c r="CC129" s="109">
        <f t="shared" ca="1" si="53"/>
        <v>0</v>
      </c>
      <c r="CD129" s="109"/>
      <c r="CE129" s="109">
        <f t="shared" si="54"/>
        <v>0</v>
      </c>
    </row>
    <row r="130" spans="1:83">
      <c r="A130" s="90">
        <f t="shared" si="55"/>
        <v>2061</v>
      </c>
      <c r="B130" s="109">
        <f t="shared" si="32"/>
        <v>0</v>
      </c>
      <c r="C130" s="109">
        <f t="shared" si="61"/>
        <v>0</v>
      </c>
      <c r="D130" s="109">
        <f t="shared" si="61"/>
        <v>0</v>
      </c>
      <c r="E130" s="109">
        <f t="shared" si="61"/>
        <v>0</v>
      </c>
      <c r="F130" s="109">
        <f t="shared" si="61"/>
        <v>0</v>
      </c>
      <c r="G130" s="109">
        <f t="shared" si="61"/>
        <v>0</v>
      </c>
      <c r="H130" s="109">
        <f t="shared" si="61"/>
        <v>0</v>
      </c>
      <c r="I130" s="109">
        <f t="shared" si="61"/>
        <v>0</v>
      </c>
      <c r="J130" s="109">
        <f t="shared" si="61"/>
        <v>0</v>
      </c>
      <c r="K130" s="109">
        <f t="shared" si="61"/>
        <v>0</v>
      </c>
      <c r="L130" s="109">
        <f t="shared" si="61"/>
        <v>0</v>
      </c>
      <c r="M130" s="109">
        <f t="shared" si="61"/>
        <v>0</v>
      </c>
      <c r="N130" s="109">
        <f t="shared" si="61"/>
        <v>0</v>
      </c>
      <c r="O130" s="109">
        <f t="shared" si="61"/>
        <v>0</v>
      </c>
      <c r="P130" s="109">
        <f t="shared" si="61"/>
        <v>0</v>
      </c>
      <c r="Q130" s="109">
        <f t="shared" si="48"/>
        <v>0</v>
      </c>
      <c r="R130" s="109">
        <f t="shared" si="60"/>
        <v>0</v>
      </c>
      <c r="S130" s="109">
        <f t="shared" si="60"/>
        <v>0</v>
      </c>
      <c r="T130" s="109">
        <f t="shared" si="60"/>
        <v>0</v>
      </c>
      <c r="U130" s="109">
        <f t="shared" si="60"/>
        <v>0</v>
      </c>
      <c r="V130" s="109">
        <f>'Cost Assumptions'!$O$100*SUM(Development!R130:U130)</f>
        <v>0</v>
      </c>
      <c r="W130" s="109">
        <f t="shared" si="56"/>
        <v>0</v>
      </c>
      <c r="X130" s="109">
        <f t="shared" si="49"/>
        <v>0</v>
      </c>
      <c r="Y130" s="109">
        <f>'Cost Assumptions'!$O$101*SUM(Development!R130:V130)</f>
        <v>0</v>
      </c>
      <c r="Z130" s="109">
        <f t="shared" si="35"/>
        <v>0</v>
      </c>
      <c r="AA130" s="121"/>
      <c r="AB130" s="148">
        <f t="shared" si="36"/>
        <v>33</v>
      </c>
      <c r="AC130" s="387">
        <f>IF(OR($AB130=0,$AB130&gt;40),0,INDEX('Devel Overrides'!D$28:D$68,$AB130+1,1)*$AB$86+INDEX('Devel Overrides'!D$28:D$68,$AB130,1)*$AC$87)*'Devel Overrides'!$F$19</f>
        <v>0</v>
      </c>
      <c r="AD130" s="387">
        <f>IF(OR($AB130=0,$AB130&gt;40),0,INDEX('Devel Overrides'!E$28:E$68,$AB130+1,1)*$AB$86+INDEX('Devel Overrides'!E$28:E$68,$AB130,1)*$AC$87)*'Devel Overrides'!$F$19</f>
        <v>0</v>
      </c>
      <c r="AE130" s="387">
        <f>IF(OR($AB130=0,$AB130&gt;40),0,INDEX('Devel Overrides'!F$28:F$68,$AB130+1,1)*$AB$86+INDEX('Devel Overrides'!F$28:F$68,$AB130,1)*$AC$87)*'Devel Overrides'!$F$19</f>
        <v>0</v>
      </c>
      <c r="AF130" s="387">
        <f>IF(OR($AB130=0,$AB130&gt;40),0,INDEX('Devel Overrides'!G$28:G$68,$AB130+1,1)*$AB$86+INDEX('Devel Overrides'!G$28:G$68,$AB130,1)*$AC$87)*'Devel Overrides'!$F$19</f>
        <v>0</v>
      </c>
      <c r="AG130" s="387">
        <f>IF(OR($AB130=0,$AB130&gt;40),0,INDEX('Devel Overrides'!H$28:H$68,$AB130+1,1)*$AB$86+INDEX('Devel Overrides'!H$28:H$68,$AB130,1)*$AC$87)*'Devel Overrides'!$F$19</f>
        <v>0</v>
      </c>
      <c r="AH130" s="387">
        <f>IF(OR($AB130=0,$AB130&gt;40),0,INDEX('Devel Overrides'!I$28:I$68,$AB130+1,1)*$AB$86+INDEX('Devel Overrides'!I$28:I$68,$AB130,1)*$AC$87)*'Devel Overrides'!$F$19</f>
        <v>0</v>
      </c>
      <c r="AI130" s="387">
        <f>IF(OR($AB130=0,$AB130&gt;40),0,INDEX('Devel Overrides'!J$28:J$68,$AB130+1,1)*$AB$86+INDEX('Devel Overrides'!J$28:J$68,$AB130,1)*$AC$87)*'Devel Overrides'!$F$19</f>
        <v>0</v>
      </c>
      <c r="AJ130" s="387">
        <f>IF(OR($AB130=0,$AB130&gt;40),0,INDEX('Devel Overrides'!K$28:K$68,$AB130+1,1)*$AB$86+INDEX('Devel Overrides'!K$28:K$68,$AB130,1)*$AC$87)*'Devel Overrides'!$F$19</f>
        <v>0</v>
      </c>
      <c r="AK130" s="387">
        <f>IF(OR($AB130=0,$AB130&gt;40),0,INDEX('Devel Overrides'!L$28:L$68,$AB130+1,1)*$AB$86+INDEX('Devel Overrides'!L$28:L$68,$AB130,1)*$AC$87)*'Devel Overrides'!$F$19</f>
        <v>0</v>
      </c>
      <c r="AL130" s="64"/>
      <c r="AM130" s="109">
        <f>B130*'Selected Economics'!$J49*'Sensitivity Ranges'!$F$43</f>
        <v>0</v>
      </c>
      <c r="AN130" s="109">
        <f>IF($AB$85=1,AC130,Q130)*'Selected Economics'!$J49*'Sensitivity Ranges'!$F$43</f>
        <v>0</v>
      </c>
      <c r="AO130" s="109">
        <f>IF($AB$85=1,AD130,R130)*'Selected Economics'!$J49*'Sensitivity Ranges'!$F$43</f>
        <v>0</v>
      </c>
      <c r="AP130" s="109">
        <f>IF($AB$85=1,AE130,S130)*'Selected Economics'!$J49*'Sensitivity Ranges'!$F$43</f>
        <v>0</v>
      </c>
      <c r="AQ130" s="109">
        <f>IF($AB$85=1,AF130,T130)*'Selected Economics'!$J49*'Sensitivity Ranges'!$F$43</f>
        <v>0</v>
      </c>
      <c r="AR130" s="109">
        <f>IF($AB$85=1,AG130,U130)*'Selected Economics'!$J49*'Sensitivity Ranges'!$F$43</f>
        <v>0</v>
      </c>
      <c r="AS130" s="109">
        <f>IF($AB$85=1,AH130,V130)*'Selected Economics'!$J49*'Sensitivity Ranges'!$F$43</f>
        <v>0</v>
      </c>
      <c r="AT130" s="109">
        <f>IF($AB$85=1,AI130,W130)*'Selected Economics'!$J49*'Sensitivity Ranges'!$F$43</f>
        <v>0</v>
      </c>
      <c r="AU130" s="109">
        <f>IF($AB$85=1,AJ130,X130)*'Selected Economics'!$J49*'Sensitivity Ranges'!$F$43</f>
        <v>0</v>
      </c>
      <c r="AV130" s="109">
        <f>IF($AB$85=1,AK130,Y130)*'Selected Economics'!$J49*'Sensitivity Ranges'!$F$43</f>
        <v>0</v>
      </c>
      <c r="AW130" s="109">
        <f t="shared" si="51"/>
        <v>0</v>
      </c>
      <c r="AX130" s="121"/>
      <c r="AY130" s="109">
        <f t="shared" si="57"/>
        <v>0</v>
      </c>
      <c r="AZ130" s="109">
        <f>AN130*Abandonment!$H54</f>
        <v>0</v>
      </c>
      <c r="BA130" s="109">
        <f>AO130*Abandonment!$H54</f>
        <v>0</v>
      </c>
      <c r="BB130" s="109">
        <f>AP130*Abandonment!$H54</f>
        <v>0</v>
      </c>
      <c r="BC130" s="109">
        <f>AQ130*Abandonment!$H54</f>
        <v>0</v>
      </c>
      <c r="BD130" s="109">
        <f>AR130*Abandonment!$H54</f>
        <v>0</v>
      </c>
      <c r="BE130" s="109">
        <f>AS130*Abandonment!$H54</f>
        <v>0</v>
      </c>
      <c r="BF130" s="109">
        <f>AT130*Abandonment!$H54</f>
        <v>0</v>
      </c>
      <c r="BG130" s="109">
        <f>AU130*Abandonment!$H54</f>
        <v>0</v>
      </c>
      <c r="BH130" s="109">
        <f>AV130*Abandonment!$H54</f>
        <v>0</v>
      </c>
      <c r="BI130" s="109">
        <f t="shared" si="52"/>
        <v>0</v>
      </c>
      <c r="BJ130" s="121"/>
      <c r="BK130" s="109">
        <f>AZ130+Exploration!R75</f>
        <v>0</v>
      </c>
      <c r="BL130" s="109">
        <f>AY130+(BA130+BB130+BC130+IF(Input!$B$17="Shore",0,Development!BD130)+BE130)*(1+'Cost Assumptions'!$O$101)+BF130</f>
        <v>0</v>
      </c>
      <c r="BM130" s="109">
        <f>IF(Input!$B$17="Shore",Development!BD130,0)*(1+'Cost Assumptions'!$O$101)+BG130</f>
        <v>0</v>
      </c>
      <c r="BN130" s="105"/>
      <c r="BO130" s="105"/>
      <c r="BP130" s="109">
        <f t="shared" si="37"/>
        <v>0</v>
      </c>
      <c r="BQ130" s="145"/>
      <c r="BR130" s="105"/>
      <c r="BS130" s="109">
        <f t="shared" ca="1" si="38"/>
        <v>0</v>
      </c>
      <c r="BT130" s="109">
        <f t="shared" ca="1" si="39"/>
        <v>0</v>
      </c>
      <c r="BU130" s="109">
        <f t="shared" ca="1" si="40"/>
        <v>0</v>
      </c>
      <c r="BV130" s="109">
        <f t="shared" ca="1" si="41"/>
        <v>0</v>
      </c>
      <c r="BW130" s="109">
        <f t="shared" ca="1" si="42"/>
        <v>0</v>
      </c>
      <c r="BX130" s="109">
        <f t="shared" ca="1" si="43"/>
        <v>0</v>
      </c>
      <c r="BY130" s="109">
        <f t="shared" ca="1" si="44"/>
        <v>0</v>
      </c>
      <c r="BZ130" s="109">
        <f t="shared" ca="1" si="45"/>
        <v>0</v>
      </c>
      <c r="CA130" s="109">
        <f t="shared" ca="1" si="46"/>
        <v>0</v>
      </c>
      <c r="CB130" s="109">
        <f t="shared" ca="1" si="47"/>
        <v>0</v>
      </c>
      <c r="CC130" s="109">
        <f t="shared" ca="1" si="53"/>
        <v>0</v>
      </c>
      <c r="CD130" s="109"/>
      <c r="CE130" s="109">
        <f t="shared" si="54"/>
        <v>0</v>
      </c>
    </row>
    <row r="131" spans="1:83">
      <c r="A131" s="97">
        <f t="shared" si="55"/>
        <v>2062</v>
      </c>
      <c r="B131" s="111">
        <f t="shared" si="32"/>
        <v>0</v>
      </c>
      <c r="C131" s="111">
        <f t="shared" si="61"/>
        <v>0</v>
      </c>
      <c r="D131" s="111">
        <f t="shared" si="61"/>
        <v>0</v>
      </c>
      <c r="E131" s="111">
        <f t="shared" si="61"/>
        <v>0</v>
      </c>
      <c r="F131" s="111">
        <f t="shared" si="61"/>
        <v>0</v>
      </c>
      <c r="G131" s="111">
        <f t="shared" si="61"/>
        <v>0</v>
      </c>
      <c r="H131" s="111">
        <f t="shared" si="61"/>
        <v>0</v>
      </c>
      <c r="I131" s="111">
        <f t="shared" si="61"/>
        <v>0</v>
      </c>
      <c r="J131" s="111">
        <f t="shared" si="61"/>
        <v>0</v>
      </c>
      <c r="K131" s="111">
        <f t="shared" si="61"/>
        <v>0</v>
      </c>
      <c r="L131" s="111">
        <f t="shared" si="61"/>
        <v>0</v>
      </c>
      <c r="M131" s="111">
        <f t="shared" si="61"/>
        <v>0</v>
      </c>
      <c r="N131" s="111">
        <f t="shared" si="61"/>
        <v>0</v>
      </c>
      <c r="O131" s="111">
        <f t="shared" si="61"/>
        <v>0</v>
      </c>
      <c r="P131" s="111">
        <f t="shared" si="61"/>
        <v>0</v>
      </c>
      <c r="Q131" s="111">
        <f t="shared" si="48"/>
        <v>0</v>
      </c>
      <c r="R131" s="111">
        <f t="shared" si="60"/>
        <v>0</v>
      </c>
      <c r="S131" s="111">
        <f t="shared" si="60"/>
        <v>0</v>
      </c>
      <c r="T131" s="111">
        <f t="shared" si="60"/>
        <v>0</v>
      </c>
      <c r="U131" s="111">
        <f t="shared" si="60"/>
        <v>0</v>
      </c>
      <c r="V131" s="111">
        <f>'Cost Assumptions'!$O$100*SUM(Development!R131:U131)</f>
        <v>0</v>
      </c>
      <c r="W131" s="111">
        <f t="shared" si="56"/>
        <v>0</v>
      </c>
      <c r="X131" s="109">
        <f t="shared" si="49"/>
        <v>0</v>
      </c>
      <c r="Y131" s="109">
        <f>'Cost Assumptions'!$O$101*SUM(Development!R131:V131)</f>
        <v>0</v>
      </c>
      <c r="Z131" s="111">
        <f t="shared" si="35"/>
        <v>0</v>
      </c>
      <c r="AA131" s="121"/>
      <c r="AB131" s="150">
        <f t="shared" si="36"/>
        <v>34</v>
      </c>
      <c r="AC131" s="388">
        <f>IF(OR($AB131=0,$AB131&gt;40),0,INDEX('Devel Overrides'!D$28:D$68,$AB131+1,1)*$AB$86+INDEX('Devel Overrides'!D$28:D$68,$AB131,1)*$AC$87)*'Devel Overrides'!$F$19</f>
        <v>0</v>
      </c>
      <c r="AD131" s="388">
        <f>IF(OR($AB131=0,$AB131&gt;40),0,INDEX('Devel Overrides'!E$28:E$68,$AB131+1,1)*$AB$86+INDEX('Devel Overrides'!E$28:E$68,$AB131,1)*$AC$87)*'Devel Overrides'!$F$19</f>
        <v>0</v>
      </c>
      <c r="AE131" s="388">
        <f>IF(OR($AB131=0,$AB131&gt;40),0,INDEX('Devel Overrides'!F$28:F$68,$AB131+1,1)*$AB$86+INDEX('Devel Overrides'!F$28:F$68,$AB131,1)*$AC$87)*'Devel Overrides'!$F$19</f>
        <v>0</v>
      </c>
      <c r="AF131" s="388">
        <f>IF(OR($AB131=0,$AB131&gt;40),0,INDEX('Devel Overrides'!G$28:G$68,$AB131+1,1)*$AB$86+INDEX('Devel Overrides'!G$28:G$68,$AB131,1)*$AC$87)*'Devel Overrides'!$F$19</f>
        <v>0</v>
      </c>
      <c r="AG131" s="388">
        <f>IF(OR($AB131=0,$AB131&gt;40),0,INDEX('Devel Overrides'!H$28:H$68,$AB131+1,1)*$AB$86+INDEX('Devel Overrides'!H$28:H$68,$AB131,1)*$AC$87)*'Devel Overrides'!$F$19</f>
        <v>0</v>
      </c>
      <c r="AH131" s="388">
        <f>IF(OR($AB131=0,$AB131&gt;40),0,INDEX('Devel Overrides'!I$28:I$68,$AB131+1,1)*$AB$86+INDEX('Devel Overrides'!I$28:I$68,$AB131,1)*$AC$87)*'Devel Overrides'!$F$19</f>
        <v>0</v>
      </c>
      <c r="AI131" s="388">
        <f>IF(OR($AB131=0,$AB131&gt;40),0,INDEX('Devel Overrides'!J$28:J$68,$AB131+1,1)*$AB$86+INDEX('Devel Overrides'!J$28:J$68,$AB131,1)*$AC$87)*'Devel Overrides'!$F$19</f>
        <v>0</v>
      </c>
      <c r="AJ131" s="388">
        <f>IF(OR($AB131=0,$AB131&gt;40),0,INDEX('Devel Overrides'!K$28:K$68,$AB131+1,1)*$AB$86+INDEX('Devel Overrides'!K$28:K$68,$AB131,1)*$AC$87)*'Devel Overrides'!$F$19</f>
        <v>0</v>
      </c>
      <c r="AK131" s="388">
        <f>IF(OR($AB131=0,$AB131&gt;40),0,INDEX('Devel Overrides'!L$28:L$68,$AB131+1,1)*$AB$86+INDEX('Devel Overrides'!L$28:L$68,$AB131,1)*$AC$87)*'Devel Overrides'!$F$19</f>
        <v>0</v>
      </c>
      <c r="AL131" s="64"/>
      <c r="AM131" s="111">
        <f>B131*'Selected Economics'!$J50*'Sensitivity Ranges'!$F$43</f>
        <v>0</v>
      </c>
      <c r="AN131" s="111">
        <f>IF($AB$85=1,AC131,Q131)*'Selected Economics'!$J50*'Sensitivity Ranges'!$F$43</f>
        <v>0</v>
      </c>
      <c r="AO131" s="111">
        <f>IF($AB$85=1,AD131,R131)*'Selected Economics'!$J50*'Sensitivity Ranges'!$F$43</f>
        <v>0</v>
      </c>
      <c r="AP131" s="111">
        <f>IF($AB$85=1,AE131,S131)*'Selected Economics'!$J50*'Sensitivity Ranges'!$F$43</f>
        <v>0</v>
      </c>
      <c r="AQ131" s="111">
        <f>IF($AB$85=1,AF131,T131)*'Selected Economics'!$J50*'Sensitivity Ranges'!$F$43</f>
        <v>0</v>
      </c>
      <c r="AR131" s="111">
        <f>IF($AB$85=1,AG131,U131)*'Selected Economics'!$J50*'Sensitivity Ranges'!$F$43</f>
        <v>0</v>
      </c>
      <c r="AS131" s="111">
        <f>IF($AB$85=1,AH131,V131)*'Selected Economics'!$J50*'Sensitivity Ranges'!$F$43</f>
        <v>0</v>
      </c>
      <c r="AT131" s="111">
        <f>IF($AB$85=1,AI131,W131)*'Selected Economics'!$J50*'Sensitivity Ranges'!$F$43</f>
        <v>0</v>
      </c>
      <c r="AU131" s="111">
        <f>IF($AB$85=1,AJ131,X131)*'Selected Economics'!$J50*'Sensitivity Ranges'!$F$43</f>
        <v>0</v>
      </c>
      <c r="AV131" s="111">
        <f>IF($AB$85=1,AK131,Y131)*'Selected Economics'!$J50*'Sensitivity Ranges'!$F$43</f>
        <v>0</v>
      </c>
      <c r="AW131" s="111">
        <f t="shared" si="51"/>
        <v>0</v>
      </c>
      <c r="AX131" s="121"/>
      <c r="AY131" s="111">
        <f t="shared" si="57"/>
        <v>0</v>
      </c>
      <c r="AZ131" s="111">
        <f>AN131*Abandonment!$H55</f>
        <v>0</v>
      </c>
      <c r="BA131" s="111">
        <f>AO131*Abandonment!$H55</f>
        <v>0</v>
      </c>
      <c r="BB131" s="111">
        <f>AP131*Abandonment!$H55</f>
        <v>0</v>
      </c>
      <c r="BC131" s="111">
        <f>AQ131*Abandonment!$H55</f>
        <v>0</v>
      </c>
      <c r="BD131" s="111">
        <f>AR131*Abandonment!$H55</f>
        <v>0</v>
      </c>
      <c r="BE131" s="111">
        <f>AS131*Abandonment!$H55</f>
        <v>0</v>
      </c>
      <c r="BF131" s="111">
        <f>AT131*Abandonment!$H55</f>
        <v>0</v>
      </c>
      <c r="BG131" s="111">
        <f>AU131*Abandonment!$H55</f>
        <v>0</v>
      </c>
      <c r="BH131" s="111">
        <f>AV131*Abandonment!$H55</f>
        <v>0</v>
      </c>
      <c r="BI131" s="111">
        <f t="shared" si="52"/>
        <v>0</v>
      </c>
      <c r="BJ131" s="121"/>
      <c r="BK131" s="111">
        <f>AZ131+Exploration!R76</f>
        <v>0</v>
      </c>
      <c r="BL131" s="111">
        <f>AY131+(BA131+BB131+BC131+IF(Input!$B$17="Shore",0,Development!BD131)+BE131)*(1+'Cost Assumptions'!$O$101)+BF131</f>
        <v>0</v>
      </c>
      <c r="BM131" s="111">
        <f>IF(Input!$B$17="Shore",Development!BD131,0)*(1+'Cost Assumptions'!$O$101)+BG131</f>
        <v>0</v>
      </c>
      <c r="BN131" s="105"/>
      <c r="BO131" s="105"/>
      <c r="BP131" s="111">
        <f t="shared" si="37"/>
        <v>0</v>
      </c>
      <c r="BQ131" s="145"/>
      <c r="BR131" s="105"/>
      <c r="BS131" s="111">
        <f t="shared" ca="1" si="38"/>
        <v>0</v>
      </c>
      <c r="BT131" s="111">
        <f t="shared" ca="1" si="39"/>
        <v>0</v>
      </c>
      <c r="BU131" s="111">
        <f t="shared" ca="1" si="40"/>
        <v>0</v>
      </c>
      <c r="BV131" s="111">
        <f t="shared" ca="1" si="41"/>
        <v>0</v>
      </c>
      <c r="BW131" s="111">
        <f t="shared" ca="1" si="42"/>
        <v>0</v>
      </c>
      <c r="BX131" s="111">
        <f t="shared" ca="1" si="43"/>
        <v>0</v>
      </c>
      <c r="BY131" s="111">
        <f t="shared" ca="1" si="44"/>
        <v>0</v>
      </c>
      <c r="BZ131" s="111">
        <f t="shared" ca="1" si="45"/>
        <v>0</v>
      </c>
      <c r="CA131" s="111">
        <f t="shared" ca="1" si="46"/>
        <v>0</v>
      </c>
      <c r="CB131" s="111">
        <f t="shared" ca="1" si="47"/>
        <v>0</v>
      </c>
      <c r="CC131" s="111">
        <f t="shared" ca="1" si="53"/>
        <v>0</v>
      </c>
      <c r="CD131" s="109"/>
      <c r="CE131" s="111">
        <f t="shared" si="54"/>
        <v>0</v>
      </c>
    </row>
  </sheetData>
  <sheetProtection algorithmName="SHA-512" hashValue="3oZtgTsChdYNf/Um1dnzZiEnqcHQLzZhMqGWsJ5M368z5QzwcnMiaXtzWmVjKfQePSO6k8cdwktPpk/V1XZwDg==" saltValue="YcRWVdYs+XVM2h0VOehAvw==" spinCount="100000" sheet="1" objects="1" scenarios="1"/>
  <mergeCells count="4">
    <mergeCell ref="C13:D13"/>
    <mergeCell ref="E13:F13"/>
    <mergeCell ref="D72:F72"/>
    <mergeCell ref="G72:H72"/>
  </mergeCells>
  <hyperlinks>
    <hyperlink ref="G1" location="Guide" display="Guide" xr:uid="{00000000-0004-0000-1300-000000000000}"/>
    <hyperlink ref="G2" location="Input" display="Input" xr:uid="{00000000-0004-0000-1300-000001000000}"/>
  </hyperlinks>
  <pageMargins left="0.7" right="0.7" top="0.75" bottom="0.75" header="0.3" footer="0.3"/>
  <pageSetup paperSize="9" scale="10" orientation="portrait" r:id="rId1"/>
  <headerFooter>
    <oddFooter>&amp;LNova Scotia Exploration Economics Model&amp;Rwww.indeva.com</oddFooter>
  </headerFooter>
  <colBreaks count="1" manualBreakCount="1">
    <brk id="37" max="129" man="1"/>
  </colBreaks>
  <extLst>
    <ext xmlns:x14="http://schemas.microsoft.com/office/spreadsheetml/2009/9/main" uri="{78C0D931-6437-407d-A8EE-F0AAD7539E65}">
      <x14:conditionalFormattings>
        <x14:conditionalFormatting xmlns:xm="http://schemas.microsoft.com/office/excel/2006/main">
          <x14:cfRule type="expression" priority="1" id="{A1A63E28-29E3-4FA6-AD64-F8CE4C369DFC}">
            <xm:f>'Devel Overrides'!$C$17=Lists!$A$37</xm:f>
            <x14:dxf>
              <font>
                <color theme="2"/>
              </font>
            </x14:dxf>
          </x14:cfRule>
          <xm:sqref>AC91:AK131</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theme="3" tint="0.79998168889431442"/>
  </sheetPr>
  <dimension ref="A1:AF100"/>
  <sheetViews>
    <sheetView showGridLines="0" showRowColHeaders="0" showZeros="0" zoomScale="75" zoomScaleNormal="75" workbookViewId="0">
      <pane xSplit="1" ySplit="18" topLeftCell="B19" activePane="bottomRight" state="frozen"/>
      <selection activeCell="D42" sqref="D42"/>
      <selection pane="topRight" activeCell="D42" sqref="D42"/>
      <selection pane="bottomLeft" activeCell="D42" sqref="D42"/>
      <selection pane="bottomRight"/>
    </sheetView>
  </sheetViews>
  <sheetFormatPr defaultRowHeight="15"/>
  <cols>
    <col min="1" max="1" width="23.7109375" customWidth="1"/>
    <col min="2" max="2" width="11.140625" bestFit="1" customWidth="1"/>
    <col min="3" max="4" width="12.85546875" customWidth="1"/>
    <col min="5" max="5" width="11" customWidth="1"/>
    <col min="6" max="6" width="9.28515625" bestFit="1" customWidth="1"/>
    <col min="7" max="7" width="10.42578125" bestFit="1" customWidth="1"/>
    <col min="9" max="9" width="11.85546875" customWidth="1"/>
    <col min="11" max="11" width="10.42578125" bestFit="1" customWidth="1"/>
    <col min="13" max="13" width="10.42578125" bestFit="1" customWidth="1"/>
    <col min="15" max="15" width="11.28515625" customWidth="1"/>
    <col min="16" max="16" width="10.42578125" bestFit="1" customWidth="1"/>
    <col min="19" max="19" width="11.5703125" customWidth="1"/>
    <col min="21" max="21" width="9.28515625" bestFit="1" customWidth="1"/>
  </cols>
  <sheetData>
    <row r="1" spans="1:32" ht="18.75">
      <c r="A1" s="92" t="str">
        <f>Input!B10</f>
        <v>Prospect X</v>
      </c>
      <c r="B1" s="92" t="s">
        <v>346</v>
      </c>
      <c r="C1" s="64"/>
      <c r="D1" s="64"/>
      <c r="E1" s="64"/>
      <c r="F1" s="93" t="s">
        <v>756</v>
      </c>
      <c r="G1" s="64"/>
      <c r="H1" s="64"/>
      <c r="I1" s="64"/>
      <c r="J1" s="64"/>
      <c r="K1" s="64"/>
      <c r="L1" s="64"/>
      <c r="M1" s="64"/>
      <c r="N1" s="64"/>
      <c r="O1" s="64"/>
      <c r="P1" s="64"/>
      <c r="Q1" s="64"/>
      <c r="R1" s="64"/>
      <c r="S1" s="64"/>
      <c r="T1" s="64"/>
      <c r="U1" s="64"/>
      <c r="V1" s="64"/>
      <c r="W1" s="64"/>
      <c r="X1" s="64"/>
      <c r="Y1" s="64"/>
      <c r="Z1" s="64"/>
      <c r="AA1" s="64"/>
      <c r="AB1" s="64"/>
      <c r="AC1" s="64"/>
      <c r="AD1" s="64"/>
      <c r="AE1" s="64"/>
      <c r="AF1" s="64"/>
    </row>
    <row r="2" spans="1:32" ht="18.75">
      <c r="A2" s="64"/>
      <c r="B2" s="64"/>
      <c r="C2" s="64"/>
      <c r="D2" s="64"/>
      <c r="E2" s="64"/>
      <c r="F2" s="93" t="s">
        <v>139</v>
      </c>
      <c r="G2" s="64"/>
      <c r="H2" s="64"/>
      <c r="I2" s="64"/>
      <c r="J2" s="64"/>
      <c r="K2" s="64"/>
      <c r="L2" s="64"/>
      <c r="M2" s="64"/>
      <c r="N2" s="64"/>
      <c r="O2" s="64"/>
      <c r="P2" s="64"/>
      <c r="Q2" s="64"/>
      <c r="R2" s="64"/>
      <c r="S2" s="64"/>
      <c r="T2" s="64"/>
      <c r="U2" s="64"/>
      <c r="V2" s="64"/>
      <c r="W2" s="64"/>
      <c r="X2" s="64"/>
      <c r="Y2" s="64"/>
      <c r="Z2" s="64"/>
      <c r="AA2" s="64"/>
      <c r="AB2" s="64"/>
      <c r="AC2" s="64"/>
      <c r="AD2" s="64"/>
      <c r="AE2" s="64"/>
      <c r="AF2" s="64"/>
    </row>
    <row r="3" spans="1:32">
      <c r="A3" s="85" t="s">
        <v>848</v>
      </c>
      <c r="B3" s="129">
        <f>IF(Input!B16=Subsea,IF(Input!B33=Sweet,'Cost Assumptions'!O143,'Cost Assumptions'!O144),IF(Input!B16=Lists!O39,IF(Input!B33=Sweet,'Cost Assumptions'!O141,'Cost Assumptions'!O142),IF(Input!B17=Shore,0,IF(Input!B17=Direct_Pipeline_Tie_in,'Cost Assumptions'!O140,'Cost Assumptions'!O145))))+IF(AND(Input!B18=Lists!O43,Input!B17=Lists!A24),'Cost Assumptions'!O145,0)</f>
        <v>0.53831039999999997</v>
      </c>
      <c r="C3" s="85" t="s">
        <v>343</v>
      </c>
      <c r="D3" s="64"/>
      <c r="E3" s="178"/>
      <c r="F3" s="64"/>
      <c r="G3" s="64"/>
      <c r="H3" s="64"/>
      <c r="I3" s="64"/>
      <c r="J3" s="174"/>
      <c r="K3" s="64"/>
      <c r="L3" s="64"/>
      <c r="M3" s="64"/>
      <c r="N3" s="64"/>
      <c r="O3" s="64"/>
      <c r="P3" s="64"/>
      <c r="Q3" s="64"/>
      <c r="R3" s="64"/>
      <c r="S3" s="64"/>
      <c r="T3" s="64"/>
      <c r="U3" s="64"/>
      <c r="V3" s="64"/>
      <c r="W3" s="64"/>
      <c r="X3" s="64"/>
      <c r="Y3" s="64"/>
      <c r="Z3" s="64"/>
      <c r="AA3" s="64"/>
      <c r="AB3" s="64"/>
      <c r="AC3" s="64"/>
      <c r="AD3" s="64"/>
      <c r="AE3" s="64"/>
      <c r="AF3" s="64"/>
    </row>
    <row r="4" spans="1:32">
      <c r="A4" s="85" t="s">
        <v>347</v>
      </c>
      <c r="B4" s="85" t="str">
        <f>IF(Input!B16=Subsea,Lists!A74,IF(Input!B16=Lists!O39,Lists!A75,IF(Input!B13="Oil",IF(Input!B33=Sweet,"oil sweet","oil sour"),IF(Input!B33=Sweet,Lists!A76,Lists!A77))))</f>
        <v>oil sweet</v>
      </c>
      <c r="C4" s="85"/>
      <c r="D4" s="64"/>
      <c r="E4" s="64"/>
      <c r="F4" s="64"/>
      <c r="G4" s="64"/>
      <c r="H4" s="64"/>
      <c r="I4" s="64"/>
      <c r="J4" s="174"/>
      <c r="K4" s="64"/>
      <c r="L4" s="64"/>
      <c r="M4" s="64"/>
      <c r="N4" s="64"/>
      <c r="O4" s="64"/>
      <c r="P4" s="64"/>
      <c r="Q4" s="64"/>
      <c r="R4" s="64"/>
      <c r="S4" s="64"/>
      <c r="T4" s="64"/>
      <c r="U4" s="64"/>
      <c r="V4" s="64"/>
      <c r="W4" s="64"/>
      <c r="X4" s="64"/>
      <c r="Y4" s="64"/>
      <c r="Z4" s="64"/>
      <c r="AA4" s="64"/>
      <c r="AB4" s="64"/>
      <c r="AC4" s="64"/>
      <c r="AD4" s="64"/>
      <c r="AE4" s="64"/>
      <c r="AF4" s="64"/>
    </row>
    <row r="5" spans="1:32">
      <c r="A5" s="85" t="s">
        <v>348</v>
      </c>
      <c r="B5" s="85" t="str">
        <f>IF(OR(B4="Oil Sweet",B4="Oil Sour"),"",MATCH(B4,FacilityType,0))</f>
        <v/>
      </c>
      <c r="C5" s="85"/>
      <c r="D5" s="64"/>
      <c r="E5" s="64"/>
      <c r="F5" s="64"/>
      <c r="G5" s="64"/>
      <c r="H5" s="64"/>
      <c r="I5" s="64"/>
      <c r="J5" s="175"/>
      <c r="K5" s="64"/>
      <c r="L5" s="64"/>
      <c r="M5" s="64"/>
      <c r="N5" s="64"/>
      <c r="O5" s="64"/>
      <c r="P5" s="64"/>
      <c r="Q5" s="64"/>
      <c r="R5" s="64"/>
      <c r="S5" s="64"/>
      <c r="T5" s="64"/>
      <c r="U5" s="64"/>
      <c r="V5" s="64"/>
      <c r="W5" s="64"/>
      <c r="X5" s="64"/>
      <c r="Y5" s="64"/>
      <c r="Z5" s="64"/>
      <c r="AA5" s="64"/>
      <c r="AB5" s="64"/>
      <c r="AC5" s="64"/>
      <c r="AD5" s="64"/>
      <c r="AE5" s="64"/>
      <c r="AF5" s="64"/>
    </row>
    <row r="6" spans="1:32">
      <c r="A6" s="85" t="s">
        <v>349</v>
      </c>
      <c r="B6" s="129">
        <f>IF(OR(B4="oil sweet",B4="oil sour"),'Cost Assumptions'!O133/1000+IF(B4="oil sweet",'Cost Assumptions'!O134,'Cost Assumptions'!O135)*Production!B10/1000000,INDEX('Cost Assumptions'!O118:O121,Operations!B5,1)/1000+INDEX('Cost Assumptions'!O123:O126,Operations!B5,1)*Production!B10/1000000)</f>
        <v>16.481251528767118</v>
      </c>
      <c r="C6" s="85" t="s">
        <v>350</v>
      </c>
      <c r="D6" s="64"/>
      <c r="E6" s="64"/>
      <c r="F6" s="64"/>
      <c r="G6" s="64"/>
      <c r="H6" s="64"/>
      <c r="I6" s="64"/>
      <c r="J6" s="175"/>
      <c r="K6" s="64"/>
      <c r="L6" s="64"/>
      <c r="M6" s="64"/>
      <c r="N6" s="64"/>
      <c r="O6" s="64"/>
      <c r="P6" s="64"/>
      <c r="Q6" s="64"/>
      <c r="R6" s="64"/>
      <c r="S6" s="64"/>
      <c r="T6" s="64"/>
      <c r="U6" s="64"/>
      <c r="V6" s="64"/>
      <c r="W6" s="64"/>
      <c r="X6" s="64"/>
      <c r="Y6" s="64"/>
      <c r="Z6" s="64"/>
      <c r="AA6" s="64"/>
      <c r="AB6" s="64"/>
      <c r="AC6" s="64"/>
      <c r="AD6" s="64"/>
      <c r="AE6" s="64"/>
      <c r="AF6" s="64"/>
    </row>
    <row r="7" spans="1:32">
      <c r="A7" s="85" t="s">
        <v>351</v>
      </c>
      <c r="B7" s="129">
        <f>IF(B4="oil sweet",'Cost Assumptions'!O136,IF(B4="oil sour",'Cost Assumptions'!O137,INDEX('Cost Assumptions'!O128:O131,B5,1)))</f>
        <v>3.4279199999999999</v>
      </c>
      <c r="C7" s="85" t="str">
        <f>IF(Input!B13="Oil",'Cost Assumptions'!B136,'Cost Assumptions'!B130)</f>
        <v>$/BBL</v>
      </c>
      <c r="D7" s="64"/>
      <c r="E7" s="64"/>
      <c r="F7" s="64"/>
      <c r="G7" s="64"/>
      <c r="H7" s="64"/>
      <c r="I7" s="64"/>
      <c r="J7" s="64"/>
      <c r="K7" s="64"/>
      <c r="L7" s="64"/>
      <c r="M7" s="64"/>
      <c r="N7" s="64"/>
      <c r="O7" s="64"/>
      <c r="P7" s="64"/>
      <c r="Q7" s="64"/>
      <c r="R7" s="64"/>
      <c r="S7" s="64"/>
      <c r="T7" s="64"/>
      <c r="U7" s="64"/>
      <c r="V7" s="64"/>
      <c r="W7" s="64"/>
      <c r="X7" s="64"/>
      <c r="Y7" s="64"/>
      <c r="Z7" s="64"/>
      <c r="AA7" s="64"/>
      <c r="AB7" s="64"/>
      <c r="AC7" s="64"/>
      <c r="AD7" s="64"/>
      <c r="AE7" s="64"/>
      <c r="AF7" s="64"/>
    </row>
    <row r="8" spans="1:32">
      <c r="A8" s="85" t="s">
        <v>352</v>
      </c>
      <c r="B8" s="129">
        <f>IF(OR(Input!B17=Lists!$Q$37,Input!B17=Shuttle_Tanker,Input!B17=Satellite),0,'Cost Assumptions'!O148/1000+'Cost Assumptions'!O149*Input!B19/1000)</f>
        <v>4.4245559999999999</v>
      </c>
      <c r="C8" s="85" t="s">
        <v>350</v>
      </c>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row>
    <row r="9" spans="1:32">
      <c r="A9" s="85" t="s">
        <v>353</v>
      </c>
      <c r="B9" s="129">
        <f>IF('Cost Assumptions'!O154=0,0,'Cost Assumptions'!O152/1000/'Cost Assumptions'!O154)</f>
        <v>5.1742188679245258</v>
      </c>
      <c r="C9" s="85" t="s">
        <v>354</v>
      </c>
      <c r="D9" s="64"/>
      <c r="E9" s="64"/>
      <c r="F9" s="64"/>
      <c r="G9" s="64"/>
      <c r="H9" s="64"/>
      <c r="I9" s="64"/>
      <c r="J9" s="64"/>
      <c r="K9" s="64"/>
      <c r="L9" s="64"/>
      <c r="M9" s="64"/>
      <c r="N9" s="64"/>
      <c r="O9" s="64"/>
      <c r="P9" s="64"/>
      <c r="Q9" s="64"/>
      <c r="R9" s="64"/>
      <c r="S9" s="64"/>
      <c r="T9" s="64"/>
      <c r="U9" s="64"/>
      <c r="V9" s="64"/>
      <c r="W9" s="64"/>
      <c r="X9" s="64"/>
      <c r="Y9" s="64"/>
      <c r="Z9" s="64"/>
      <c r="AA9" s="64"/>
      <c r="AB9" s="64"/>
      <c r="AC9" s="64"/>
      <c r="AD9" s="64"/>
      <c r="AE9" s="64"/>
      <c r="AF9" s="64"/>
    </row>
    <row r="10" spans="1:32">
      <c r="A10" s="85" t="s">
        <v>355</v>
      </c>
      <c r="B10" s="129">
        <f>IF('Cost Assumptions'!O154=0,0,'Cost Assumptions'!O153/1000/'Cost Assumptions'!O154)</f>
        <v>0</v>
      </c>
      <c r="C10" s="85" t="s">
        <v>354</v>
      </c>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row>
    <row r="11" spans="1:32">
      <c r="A11" s="85" t="s">
        <v>849</v>
      </c>
      <c r="B11" s="129">
        <f>IF(Input!B16=Rented_FPSU,'Cost Assumptions'!O83+'Cost Assumptions'!O84*Input!B14,0)</f>
        <v>0</v>
      </c>
      <c r="C11" s="64" t="s">
        <v>732</v>
      </c>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row>
    <row r="12" spans="1:32">
      <c r="A12" s="85" t="s">
        <v>356</v>
      </c>
      <c r="B12" s="85">
        <f>IF('Devel Overrides'!Q17=Lists!A38,1,0)</f>
        <v>0</v>
      </c>
      <c r="C12" s="64"/>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row>
    <row r="13" spans="1:32">
      <c r="A13" s="64"/>
      <c r="B13" s="84" t="s">
        <v>995</v>
      </c>
      <c r="C13" s="64"/>
      <c r="D13" s="64"/>
      <c r="E13" s="64"/>
      <c r="F13" s="64"/>
      <c r="G13" s="64"/>
      <c r="H13" s="64"/>
      <c r="I13" s="84" t="s">
        <v>357</v>
      </c>
      <c r="J13" s="64"/>
      <c r="K13" s="84" t="s">
        <v>358</v>
      </c>
      <c r="L13" s="84"/>
      <c r="M13" s="84" t="s">
        <v>359</v>
      </c>
      <c r="N13" s="64"/>
      <c r="O13" s="64"/>
      <c r="P13" s="84" t="s">
        <v>360</v>
      </c>
      <c r="Q13" s="64"/>
      <c r="R13" s="64"/>
      <c r="S13" s="64"/>
      <c r="T13" s="64"/>
      <c r="U13" s="64"/>
      <c r="V13" s="64"/>
      <c r="W13" s="64"/>
      <c r="X13" s="64"/>
      <c r="Y13" s="64"/>
      <c r="Z13" s="64"/>
      <c r="AA13" s="64"/>
      <c r="AB13" s="64"/>
      <c r="AC13" s="64"/>
      <c r="AD13" s="64"/>
      <c r="AE13" s="64"/>
      <c r="AF13" s="64"/>
    </row>
    <row r="14" spans="1:32">
      <c r="A14" s="64"/>
      <c r="B14" s="64"/>
      <c r="C14" s="64"/>
      <c r="D14" s="64"/>
      <c r="E14" s="64"/>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row>
    <row r="15" spans="1:32">
      <c r="A15" s="89" t="s">
        <v>14</v>
      </c>
      <c r="B15" s="89" t="s">
        <v>269</v>
      </c>
      <c r="C15" s="89" t="s">
        <v>361</v>
      </c>
      <c r="D15" s="89" t="s">
        <v>851</v>
      </c>
      <c r="E15" s="89" t="s">
        <v>158</v>
      </c>
      <c r="F15" s="89" t="s">
        <v>362</v>
      </c>
      <c r="G15" s="89" t="s">
        <v>13</v>
      </c>
      <c r="H15" s="64"/>
      <c r="I15" s="89" t="s">
        <v>13</v>
      </c>
      <c r="J15" s="64"/>
      <c r="K15" s="89" t="s">
        <v>13</v>
      </c>
      <c r="L15" s="115"/>
      <c r="M15" s="89" t="s">
        <v>13</v>
      </c>
      <c r="N15" s="64"/>
      <c r="O15" s="64"/>
      <c r="P15" s="104" t="s">
        <v>13</v>
      </c>
      <c r="Q15" s="64"/>
      <c r="R15" s="64"/>
      <c r="S15" s="85" t="s">
        <v>363</v>
      </c>
      <c r="T15" s="64"/>
      <c r="U15" s="64"/>
      <c r="V15" s="64"/>
      <c r="W15" s="64"/>
      <c r="X15" s="64"/>
      <c r="Y15" s="64"/>
      <c r="Z15" s="64"/>
      <c r="AA15" s="64"/>
      <c r="AB15" s="64"/>
      <c r="AC15" s="64"/>
      <c r="AD15" s="64"/>
      <c r="AE15" s="64"/>
      <c r="AF15" s="64"/>
    </row>
    <row r="16" spans="1:32">
      <c r="A16" s="97"/>
      <c r="B16" s="97"/>
      <c r="C16" s="97" t="s">
        <v>364</v>
      </c>
      <c r="D16" s="97"/>
      <c r="E16" s="97"/>
      <c r="F16" s="97"/>
      <c r="G16" s="97"/>
      <c r="H16" s="64"/>
      <c r="I16" s="97"/>
      <c r="J16" s="64"/>
      <c r="K16" s="97"/>
      <c r="L16" s="115"/>
      <c r="M16" s="97"/>
      <c r="N16" s="64"/>
      <c r="O16" s="85" t="s">
        <v>365</v>
      </c>
      <c r="P16" s="86">
        <f ca="1">Development!BT89</f>
        <v>1</v>
      </c>
      <c r="Q16" s="64"/>
      <c r="R16" s="85" t="s">
        <v>298</v>
      </c>
      <c r="S16" s="142">
        <v>0.1</v>
      </c>
      <c r="T16" s="64" t="s">
        <v>850</v>
      </c>
      <c r="U16" s="64"/>
      <c r="V16" s="64"/>
      <c r="W16" s="64"/>
      <c r="X16" s="64"/>
      <c r="Y16" s="64"/>
      <c r="Z16" s="64"/>
      <c r="AA16" s="64"/>
      <c r="AB16" s="64"/>
      <c r="AC16" s="64"/>
      <c r="AD16" s="64"/>
      <c r="AE16" s="64"/>
      <c r="AF16" s="64"/>
    </row>
    <row r="17" spans="1:32">
      <c r="A17" s="115"/>
      <c r="B17" s="64"/>
      <c r="C17" s="64"/>
      <c r="D17" s="64"/>
      <c r="E17" s="64"/>
      <c r="F17" s="64"/>
      <c r="G17" s="64"/>
      <c r="H17" s="64"/>
      <c r="I17" s="64"/>
      <c r="J17" s="64"/>
      <c r="K17" s="64"/>
      <c r="L17" s="64"/>
      <c r="M17" s="64"/>
      <c r="N17" s="64"/>
      <c r="O17" s="64"/>
      <c r="P17" s="141"/>
      <c r="Q17" s="64"/>
      <c r="R17" s="64"/>
      <c r="S17" s="143"/>
      <c r="T17" s="64"/>
      <c r="U17" s="64"/>
      <c r="V17" s="64"/>
      <c r="W17" s="64"/>
      <c r="X17" s="64"/>
      <c r="Y17" s="64"/>
      <c r="Z17" s="64"/>
      <c r="AA17" s="64"/>
      <c r="AB17" s="64"/>
      <c r="AC17" s="64"/>
      <c r="AD17" s="64"/>
      <c r="AE17" s="64"/>
      <c r="AF17" s="64"/>
    </row>
    <row r="18" spans="1:32">
      <c r="A18" s="104" t="s">
        <v>13</v>
      </c>
      <c r="B18" s="100">
        <f>SUM(B19:B58)</f>
        <v>1434.8458811839137</v>
      </c>
      <c r="C18" s="100">
        <f>SUM(C19:C58)</f>
        <v>2905.7973155700538</v>
      </c>
      <c r="D18" s="100"/>
      <c r="E18" s="100">
        <f>SUM(E19:E58)</f>
        <v>118.32347733076875</v>
      </c>
      <c r="F18" s="100">
        <f>SUM(F19:F58)</f>
        <v>1478.9105518547847</v>
      </c>
      <c r="G18" s="100">
        <f>SUM(G19:G58)</f>
        <v>5937.8772259395246</v>
      </c>
      <c r="H18" s="105"/>
      <c r="I18" s="100">
        <f>SUM(I19:I58)</f>
        <v>0</v>
      </c>
      <c r="J18" s="105"/>
      <c r="K18" s="100">
        <f>SUM(K19:K58)</f>
        <v>10495.781818910329</v>
      </c>
      <c r="L18" s="145"/>
      <c r="M18" s="100">
        <f>SUM(M19:M58)</f>
        <v>9345.785873417195</v>
      </c>
      <c r="N18" s="105"/>
      <c r="O18" s="105"/>
      <c r="P18" s="100">
        <f ca="1">SUM(P19:P58)</f>
        <v>9345.785873417195</v>
      </c>
      <c r="Q18" s="105"/>
      <c r="R18" s="105"/>
      <c r="S18" s="100">
        <f>SUM(S19:S58)</f>
        <v>10280.364460758914</v>
      </c>
      <c r="T18" s="64"/>
      <c r="U18" s="64"/>
      <c r="V18" s="64"/>
      <c r="W18" s="64"/>
      <c r="X18" s="64"/>
      <c r="Y18" s="64"/>
      <c r="Z18" s="64"/>
      <c r="AA18" s="64"/>
      <c r="AB18" s="64"/>
      <c r="AC18" s="64"/>
      <c r="AD18" s="64"/>
      <c r="AE18" s="64"/>
      <c r="AF18" s="64"/>
    </row>
    <row r="19" spans="1:32">
      <c r="A19" s="90">
        <f>'Success Cash Flow'!A10</f>
        <v>2023</v>
      </c>
      <c r="B19" s="109">
        <f>Production!N31*B$6+B$7*Production!G31</f>
        <v>0</v>
      </c>
      <c r="C19" s="109">
        <f>($B$9*Development!$B$23+(Development!$B$15-Development!$B$23)*Operations!$B$10)*Production!N31</f>
        <v>0</v>
      </c>
      <c r="D19" s="109">
        <f>$B$11*Production!M31/1000</f>
        <v>0</v>
      </c>
      <c r="E19" s="109">
        <f>$B$8*Production!N31</f>
        <v>0</v>
      </c>
      <c r="F19" s="109">
        <f>$B$3*IF(Input!$B$13="Gas",Production!G31,Production!K31)</f>
        <v>0</v>
      </c>
      <c r="G19" s="109">
        <f t="shared" ref="G19:G58" si="0">SUM(B19:F19)</f>
        <v>0</v>
      </c>
      <c r="H19" s="105"/>
      <c r="I19" s="107">
        <f>IF(OR('Devel Overrides'!Q$17=Lists!A$37,Production!S31=0),0,INDEX('Devel Overrides'!$Q$29:$Q$69,Production!S31+1,1)*Production!$T$21+INDEX('Devel Overrides'!$Q$29:$Q$69,Production!S31,1)*Production!$T$22)*'Devel Overrides'!$Q$19</f>
        <v>0</v>
      </c>
      <c r="J19" s="105"/>
      <c r="K19" s="109">
        <f>IF($B$12=1,I19,G19)*'Selected Economics'!J11*'Sensitivity Ranges'!$F$44</f>
        <v>0</v>
      </c>
      <c r="L19" s="145"/>
      <c r="M19" s="107">
        <f>K19*Abandonment!H16</f>
        <v>0</v>
      </c>
      <c r="N19" s="105"/>
      <c r="O19" s="105"/>
      <c r="P19" s="107">
        <f ca="1">M19*P$16</f>
        <v>0</v>
      </c>
      <c r="Q19" s="105"/>
      <c r="R19" s="105"/>
      <c r="S19" s="176">
        <f>IF(G19&gt;0,M19*(1+$S$16)*(G19-D19)/G19+M19*(1+Development!$BP$89)*D19/G19,0)</f>
        <v>0</v>
      </c>
      <c r="T19" s="64"/>
      <c r="U19" s="64"/>
      <c r="V19" s="64"/>
      <c r="W19" s="64"/>
      <c r="X19" s="64"/>
      <c r="Y19" s="64"/>
      <c r="Z19" s="64"/>
      <c r="AA19" s="64"/>
      <c r="AB19" s="64"/>
      <c r="AC19" s="64"/>
      <c r="AD19" s="64"/>
      <c r="AE19" s="64"/>
      <c r="AF19" s="64"/>
    </row>
    <row r="20" spans="1:32">
      <c r="A20" s="90">
        <f>A19+1</f>
        <v>2024</v>
      </c>
      <c r="B20" s="109">
        <f>Production!N32*B$6+B$7*Production!G32</f>
        <v>0</v>
      </c>
      <c r="C20" s="109">
        <f>($B$9*Development!$B$23+(Development!$B$15-Development!$B$23)*Operations!$B$10)*Production!N32</f>
        <v>0</v>
      </c>
      <c r="D20" s="109">
        <f>$B$11*Production!M32/1000</f>
        <v>0</v>
      </c>
      <c r="E20" s="109">
        <f>$B$8*Production!N32</f>
        <v>0</v>
      </c>
      <c r="F20" s="109">
        <f>$B$3*IF(Input!$B$13="Gas",Production!G32,Production!K32)</f>
        <v>0</v>
      </c>
      <c r="G20" s="109">
        <f t="shared" si="0"/>
        <v>0</v>
      </c>
      <c r="H20" s="105"/>
      <c r="I20" s="109">
        <f>IF(OR('Devel Overrides'!Q$17=Lists!A$37,Production!S32=0),0,INDEX('Devel Overrides'!$Q$29:$Q$69,Production!S32+1,1)*Production!$T$21+INDEX('Devel Overrides'!$Q$29:$Q$69,Production!S32,1)*Production!$T$22)*'Devel Overrides'!$Q$19</f>
        <v>0</v>
      </c>
      <c r="J20" s="105"/>
      <c r="K20" s="109">
        <f>IF($B$12=1,I20,G20)*'Selected Economics'!J12*'Sensitivity Ranges'!$F$44</f>
        <v>0</v>
      </c>
      <c r="L20" s="145"/>
      <c r="M20" s="109">
        <f>K20*Abandonment!H17</f>
        <v>0</v>
      </c>
      <c r="N20" s="105"/>
      <c r="O20" s="105"/>
      <c r="P20" s="109">
        <f t="shared" ref="P20:P58" ca="1" si="1">M20*P$16</f>
        <v>0</v>
      </c>
      <c r="Q20" s="105"/>
      <c r="R20" s="105"/>
      <c r="S20" s="176">
        <f>IF(G20&gt;0,M20*(1+$S$16)*(G20-D20)/G20+M20*(1+Development!$BP$89)*D20/G20,0)</f>
        <v>0</v>
      </c>
      <c r="T20" s="64"/>
      <c r="U20" s="64"/>
      <c r="V20" s="64"/>
      <c r="W20" s="64"/>
      <c r="X20" s="64"/>
      <c r="Y20" s="64"/>
      <c r="Z20" s="64"/>
      <c r="AA20" s="64"/>
      <c r="AB20" s="64"/>
      <c r="AC20" s="64"/>
      <c r="AD20" s="64"/>
      <c r="AE20" s="64"/>
      <c r="AF20" s="64"/>
    </row>
    <row r="21" spans="1:32">
      <c r="A21" s="90">
        <f t="shared" ref="A21:A58" si="2">A20+1</f>
        <v>2025</v>
      </c>
      <c r="B21" s="109">
        <f>Production!N33*B$6+B$7*Production!G33</f>
        <v>0</v>
      </c>
      <c r="C21" s="109">
        <f>($B$9*Development!$B$23+(Development!$B$15-Development!$B$23)*Operations!$B$10)*Production!N33</f>
        <v>0</v>
      </c>
      <c r="D21" s="109">
        <f>$B$11*Production!M33/1000</f>
        <v>0</v>
      </c>
      <c r="E21" s="109">
        <f>$B$8*Production!N33</f>
        <v>0</v>
      </c>
      <c r="F21" s="109">
        <f>$B$3*IF(Input!$B$13="Gas",Production!G33,Production!K33)</f>
        <v>0</v>
      </c>
      <c r="G21" s="109">
        <f t="shared" si="0"/>
        <v>0</v>
      </c>
      <c r="H21" s="105"/>
      <c r="I21" s="109">
        <f>IF(OR('Devel Overrides'!Q$17=Lists!A$37,Production!S33=0),0,INDEX('Devel Overrides'!$Q$29:$Q$69,Production!S33+1,1)*Production!$T$21+INDEX('Devel Overrides'!$Q$29:$Q$69,Production!S33,1)*Production!$T$22)*'Devel Overrides'!$Q$19</f>
        <v>0</v>
      </c>
      <c r="J21" s="105"/>
      <c r="K21" s="109">
        <f>IF($B$12=1,I21,G21)*'Selected Economics'!J13*'Sensitivity Ranges'!$F$44</f>
        <v>0</v>
      </c>
      <c r="L21" s="145"/>
      <c r="M21" s="109">
        <f>K21*Abandonment!H18</f>
        <v>0</v>
      </c>
      <c r="N21" s="105"/>
      <c r="O21" s="105"/>
      <c r="P21" s="109">
        <f t="shared" ca="1" si="1"/>
        <v>0</v>
      </c>
      <c r="Q21" s="105"/>
      <c r="R21" s="105"/>
      <c r="S21" s="176">
        <f>IF(G21&gt;0,M21*(1+$S$16)*(G21-D21)/G21+M21*(1+Development!$BP$89)*D21/G21,0)</f>
        <v>0</v>
      </c>
      <c r="T21" s="64"/>
      <c r="U21" s="64"/>
      <c r="V21" s="64"/>
      <c r="W21" s="64"/>
      <c r="X21" s="64"/>
      <c r="Y21" s="64"/>
      <c r="Z21" s="64"/>
      <c r="AA21" s="64"/>
      <c r="AB21" s="64"/>
      <c r="AC21" s="64"/>
      <c r="AD21" s="64"/>
      <c r="AE21" s="64"/>
      <c r="AF21" s="64"/>
    </row>
    <row r="22" spans="1:32">
      <c r="A22" s="90">
        <f t="shared" si="2"/>
        <v>2026</v>
      </c>
      <c r="B22" s="109">
        <f>Production!N34*B$6+B$7*Production!G34</f>
        <v>0</v>
      </c>
      <c r="C22" s="109">
        <f>($B$9*Development!$B$23+(Development!$B$15-Development!$B$23)*Operations!$B$10)*Production!N34</f>
        <v>0</v>
      </c>
      <c r="D22" s="109">
        <f>$B$11*Production!M34/1000</f>
        <v>0</v>
      </c>
      <c r="E22" s="109">
        <f>$B$8*Production!N34</f>
        <v>0</v>
      </c>
      <c r="F22" s="109">
        <f>$B$3*IF(Input!$B$13="Gas",Production!G34,Production!K34)</f>
        <v>0</v>
      </c>
      <c r="G22" s="109">
        <f t="shared" si="0"/>
        <v>0</v>
      </c>
      <c r="H22" s="105"/>
      <c r="I22" s="109">
        <f>IF(OR('Devel Overrides'!Q$17=Lists!A$37,Production!S34=0),0,INDEX('Devel Overrides'!$Q$29:$Q$69,Production!S34+1,1)*Production!$T$21+INDEX('Devel Overrides'!$Q$29:$Q$69,Production!S34,1)*Production!$T$22)*'Devel Overrides'!$Q$19</f>
        <v>0</v>
      </c>
      <c r="J22" s="105"/>
      <c r="K22" s="109">
        <f>IF($B$12=1,I22,G22)*'Selected Economics'!J14*'Sensitivity Ranges'!$F$44</f>
        <v>0</v>
      </c>
      <c r="L22" s="145"/>
      <c r="M22" s="109">
        <f>K22*Abandonment!H19</f>
        <v>0</v>
      </c>
      <c r="N22" s="105"/>
      <c r="O22" s="105"/>
      <c r="P22" s="109">
        <f t="shared" ca="1" si="1"/>
        <v>0</v>
      </c>
      <c r="Q22" s="105"/>
      <c r="R22" s="105"/>
      <c r="S22" s="176">
        <f>IF(G22&gt;0,M22*(1+$S$16)*(G22-D22)/G22+M22*(1+Development!$BP$89)*D22/G22,0)</f>
        <v>0</v>
      </c>
      <c r="T22" s="64"/>
      <c r="U22" s="64"/>
      <c r="V22" s="64"/>
      <c r="W22" s="64"/>
      <c r="X22" s="64"/>
      <c r="Y22" s="64"/>
      <c r="Z22" s="64"/>
      <c r="AA22" s="64"/>
      <c r="AB22" s="64"/>
      <c r="AC22" s="64"/>
      <c r="AD22" s="64"/>
      <c r="AE22" s="64"/>
      <c r="AF22" s="64"/>
    </row>
    <row r="23" spans="1:32">
      <c r="A23" s="90">
        <f t="shared" si="2"/>
        <v>2027</v>
      </c>
      <c r="B23" s="109">
        <f>Production!N35*B$6+B$7*Production!G35</f>
        <v>0</v>
      </c>
      <c r="C23" s="109">
        <f>($B$9*Development!$B$23+(Development!$B$15-Development!$B$23)*Operations!$B$10)*Production!N35</f>
        <v>0</v>
      </c>
      <c r="D23" s="109">
        <f>$B$11*Production!M35/1000</f>
        <v>0</v>
      </c>
      <c r="E23" s="109">
        <f>$B$8*Production!N35</f>
        <v>0</v>
      </c>
      <c r="F23" s="109">
        <f>$B$3*IF(Input!$B$13="Gas",Production!G35,Production!K35)</f>
        <v>0</v>
      </c>
      <c r="G23" s="109">
        <f t="shared" si="0"/>
        <v>0</v>
      </c>
      <c r="H23" s="105"/>
      <c r="I23" s="109">
        <f>IF(OR('Devel Overrides'!Q$17=Lists!A$37,Production!S35=0),0,INDEX('Devel Overrides'!$Q$29:$Q$69,Production!S35+1,1)*Production!$T$21+INDEX('Devel Overrides'!$Q$29:$Q$69,Production!S35,1)*Production!$T$22)*'Devel Overrides'!$Q$19</f>
        <v>0</v>
      </c>
      <c r="J23" s="105"/>
      <c r="K23" s="109">
        <f>IF($B$12=1,I23,G23)*'Selected Economics'!J15*'Sensitivity Ranges'!$F$44</f>
        <v>0</v>
      </c>
      <c r="L23" s="145"/>
      <c r="M23" s="109">
        <f>K23*Abandonment!H20</f>
        <v>0</v>
      </c>
      <c r="N23" s="105"/>
      <c r="O23" s="105"/>
      <c r="P23" s="109">
        <f t="shared" ca="1" si="1"/>
        <v>0</v>
      </c>
      <c r="Q23" s="105"/>
      <c r="R23" s="105"/>
      <c r="S23" s="176">
        <f>IF(G23&gt;0,M23*(1+$S$16)*(G23-D23)/G23+M23*(1+Development!$BP$89)*D23/G23,0)</f>
        <v>0</v>
      </c>
      <c r="T23" s="64"/>
      <c r="U23" s="64"/>
      <c r="V23" s="64"/>
      <c r="W23" s="64"/>
      <c r="X23" s="64"/>
      <c r="Y23" s="64"/>
      <c r="Z23" s="64"/>
      <c r="AA23" s="64"/>
      <c r="AB23" s="64"/>
      <c r="AC23" s="64"/>
      <c r="AD23" s="64"/>
      <c r="AE23" s="64"/>
      <c r="AF23" s="64"/>
    </row>
    <row r="24" spans="1:32">
      <c r="A24" s="90">
        <f t="shared" si="2"/>
        <v>2028</v>
      </c>
      <c r="B24" s="109">
        <f>Production!N36*B$6+B$7*Production!G36</f>
        <v>0</v>
      </c>
      <c r="C24" s="109">
        <f>($B$9*Development!$B$23+(Development!$B$15-Development!$B$23)*Operations!$B$10)*Production!N36</f>
        <v>0</v>
      </c>
      <c r="D24" s="109">
        <f>$B$11*Production!M36/1000</f>
        <v>0</v>
      </c>
      <c r="E24" s="109">
        <f>$B$8*Production!N36</f>
        <v>0</v>
      </c>
      <c r="F24" s="109">
        <f>$B$3*IF(Input!$B$13="Gas",Production!G36,Production!K36)</f>
        <v>0</v>
      </c>
      <c r="G24" s="109">
        <f t="shared" si="0"/>
        <v>0</v>
      </c>
      <c r="H24" s="105"/>
      <c r="I24" s="109">
        <f>IF(OR('Devel Overrides'!Q$17=Lists!A$37,Production!S36=0),0,INDEX('Devel Overrides'!$Q$29:$Q$69,Production!S36+1,1)*Production!$T$21+INDEX('Devel Overrides'!$Q$29:$Q$69,Production!S36,1)*Production!$T$22)*'Devel Overrides'!$Q$19</f>
        <v>0</v>
      </c>
      <c r="J24" s="105"/>
      <c r="K24" s="109">
        <f>IF($B$12=1,I24,G24)*'Selected Economics'!J16*'Sensitivity Ranges'!$F$44</f>
        <v>0</v>
      </c>
      <c r="L24" s="145"/>
      <c r="M24" s="109">
        <f>K24*Abandonment!H21</f>
        <v>0</v>
      </c>
      <c r="N24" s="105"/>
      <c r="O24" s="105"/>
      <c r="P24" s="109">
        <f t="shared" ca="1" si="1"/>
        <v>0</v>
      </c>
      <c r="Q24" s="105"/>
      <c r="R24" s="105"/>
      <c r="S24" s="176">
        <f>IF(G24&gt;0,M24*(1+$S$16)*(G24-D24)/G24+M24*(1+Development!$BP$89)*D24/G24,0)</f>
        <v>0</v>
      </c>
      <c r="T24" s="64"/>
      <c r="U24" s="64"/>
      <c r="V24" s="64"/>
      <c r="W24" s="64"/>
      <c r="X24" s="64"/>
      <c r="Y24" s="64"/>
      <c r="Z24" s="64"/>
      <c r="AA24" s="64"/>
      <c r="AB24" s="64"/>
      <c r="AC24" s="64"/>
      <c r="AD24" s="64"/>
      <c r="AE24" s="64"/>
      <c r="AF24" s="64"/>
    </row>
    <row r="25" spans="1:32">
      <c r="A25" s="90">
        <f t="shared" si="2"/>
        <v>2029</v>
      </c>
      <c r="B25" s="109">
        <f>Production!N37*B$6+B$7*Production!G37</f>
        <v>0</v>
      </c>
      <c r="C25" s="109">
        <f>($B$9*Development!$B$23+(Development!$B$15-Development!$B$23)*Operations!$B$10)*Production!N37</f>
        <v>0</v>
      </c>
      <c r="D25" s="109">
        <f>$B$11*Production!M37/1000</f>
        <v>0</v>
      </c>
      <c r="E25" s="109">
        <f>$B$8*Production!N37</f>
        <v>0</v>
      </c>
      <c r="F25" s="109">
        <f>$B$3*IF(Input!$B$13="Gas",Production!G37,Production!K37)</f>
        <v>0</v>
      </c>
      <c r="G25" s="109">
        <f t="shared" si="0"/>
        <v>0</v>
      </c>
      <c r="H25" s="105"/>
      <c r="I25" s="109">
        <f>IF(OR('Devel Overrides'!Q$17=Lists!A$37,Production!S37=0),0,INDEX('Devel Overrides'!$Q$29:$Q$69,Production!S37+1,1)*Production!$T$21+INDEX('Devel Overrides'!$Q$29:$Q$69,Production!S37,1)*Production!$T$22)*'Devel Overrides'!$Q$19</f>
        <v>0</v>
      </c>
      <c r="J25" s="105"/>
      <c r="K25" s="109">
        <f>IF($B$12=1,I25,G25)*'Selected Economics'!J17*'Sensitivity Ranges'!$F$44</f>
        <v>0</v>
      </c>
      <c r="L25" s="145"/>
      <c r="M25" s="109">
        <f>K25*Abandonment!H22</f>
        <v>0</v>
      </c>
      <c r="N25" s="105"/>
      <c r="O25" s="105"/>
      <c r="P25" s="109">
        <f t="shared" ca="1" si="1"/>
        <v>0</v>
      </c>
      <c r="Q25" s="105"/>
      <c r="R25" s="105"/>
      <c r="S25" s="176">
        <f>IF(G25&gt;0,M25*(1+$S$16)*(G25-D25)/G25+M25*(1+Development!$BP$89)*D25/G25,0)</f>
        <v>0</v>
      </c>
      <c r="T25" s="64"/>
      <c r="U25" s="64"/>
      <c r="V25" s="64"/>
      <c r="W25" s="64"/>
      <c r="X25" s="64"/>
      <c r="Y25" s="64"/>
      <c r="Z25" s="64"/>
      <c r="AA25" s="64"/>
      <c r="AB25" s="64"/>
      <c r="AC25" s="64"/>
      <c r="AD25" s="64"/>
      <c r="AE25" s="64"/>
      <c r="AF25" s="64"/>
    </row>
    <row r="26" spans="1:32">
      <c r="A26" s="90">
        <f t="shared" si="2"/>
        <v>2030</v>
      </c>
      <c r="B26" s="109">
        <f>Production!N38*B$6+B$7*Production!G38</f>
        <v>0</v>
      </c>
      <c r="C26" s="109">
        <f>($B$9*Development!$B$23+(Development!$B$15-Development!$B$23)*Operations!$B$10)*Production!N38</f>
        <v>0</v>
      </c>
      <c r="D26" s="109">
        <f>$B$11*Production!M38/1000</f>
        <v>0</v>
      </c>
      <c r="E26" s="109">
        <f>$B$8*Production!N38</f>
        <v>0</v>
      </c>
      <c r="F26" s="109">
        <f>$B$3*IF(Input!$B$13="Gas",Production!G38,Production!K38)</f>
        <v>0</v>
      </c>
      <c r="G26" s="109">
        <f t="shared" si="0"/>
        <v>0</v>
      </c>
      <c r="H26" s="105"/>
      <c r="I26" s="109">
        <f>IF(OR('Devel Overrides'!Q$17=Lists!A$37,Production!S38=0),0,INDEX('Devel Overrides'!$Q$29:$Q$69,Production!S38+1,1)*Production!$T$21+INDEX('Devel Overrides'!$Q$29:$Q$69,Production!S38,1)*Production!$T$22)*'Devel Overrides'!$Q$19</f>
        <v>0</v>
      </c>
      <c r="J26" s="105"/>
      <c r="K26" s="109">
        <f>IF($B$12=1,I26,G26)*'Selected Economics'!J18*'Sensitivity Ranges'!$F$44</f>
        <v>0</v>
      </c>
      <c r="L26" s="145"/>
      <c r="M26" s="109">
        <f>K26*Abandonment!H23</f>
        <v>0</v>
      </c>
      <c r="N26" s="105"/>
      <c r="O26" s="105"/>
      <c r="P26" s="109">
        <f t="shared" ca="1" si="1"/>
        <v>0</v>
      </c>
      <c r="Q26" s="105"/>
      <c r="R26" s="105"/>
      <c r="S26" s="176">
        <f>IF(G26&gt;0,M26*(1+$S$16)*(G26-D26)/G26+M26*(1+Development!$BP$89)*D26/G26,0)</f>
        <v>0</v>
      </c>
      <c r="T26" s="64"/>
      <c r="U26" s="64"/>
      <c r="V26" s="64"/>
      <c r="W26" s="64"/>
      <c r="X26" s="64"/>
      <c r="Y26" s="64"/>
      <c r="Z26" s="64"/>
      <c r="AA26" s="64"/>
      <c r="AB26" s="64"/>
      <c r="AC26" s="64"/>
      <c r="AD26" s="64"/>
      <c r="AE26" s="64"/>
      <c r="AF26" s="64"/>
    </row>
    <row r="27" spans="1:32">
      <c r="A27" s="90">
        <f t="shared" si="2"/>
        <v>2031</v>
      </c>
      <c r="B27" s="109">
        <f>Production!N39*B$6+B$7*Production!G39</f>
        <v>68.232069146970076</v>
      </c>
      <c r="C27" s="109">
        <f>($B$9*Development!$B$23+(Development!$B$15-Development!$B$23)*Operations!$B$10)*Production!N39</f>
        <v>67.279021225122733</v>
      </c>
      <c r="D27" s="109">
        <f>$B$11*Production!M39/1000</f>
        <v>0</v>
      </c>
      <c r="E27" s="109">
        <f>$B$8*Production!N39</f>
        <v>2.7395880986301369</v>
      </c>
      <c r="F27" s="109">
        <f>$B$3*IF(Input!$B$13="Gas",Production!G39,Production!K39)</f>
        <v>134.40021568999404</v>
      </c>
      <c r="G27" s="109">
        <f t="shared" si="0"/>
        <v>272.65089416071703</v>
      </c>
      <c r="H27" s="105"/>
      <c r="I27" s="109">
        <f>IF(OR('Devel Overrides'!Q$17=Lists!A$37,Production!S39=0),0,INDEX('Devel Overrides'!$Q$29:$Q$69,Production!S39+1,1)*Production!$T$21+INDEX('Devel Overrides'!$Q$29:$Q$69,Production!S39,1)*Production!$T$22)*'Devel Overrides'!$Q$19</f>
        <v>0</v>
      </c>
      <c r="J27" s="105"/>
      <c r="K27" s="109">
        <f>IF($B$12=1,I27,G27)*'Selected Economics'!J19*'Sensitivity Ranges'!$F$44</f>
        <v>345.38599538637789</v>
      </c>
      <c r="L27" s="145"/>
      <c r="M27" s="109">
        <f>K27*Abandonment!H24</f>
        <v>345.38599538637789</v>
      </c>
      <c r="N27" s="105"/>
      <c r="O27" s="105"/>
      <c r="P27" s="109">
        <f t="shared" ca="1" si="1"/>
        <v>345.38599538637789</v>
      </c>
      <c r="Q27" s="105"/>
      <c r="R27" s="105"/>
      <c r="S27" s="176">
        <f>IF(G27&gt;0,M27*(1+$S$16)*(G27-D27)/G27+M27*(1+Development!$BP$89)*D27/G27,0)</f>
        <v>379.9245949250157</v>
      </c>
      <c r="T27" s="64"/>
      <c r="U27" s="64"/>
      <c r="V27" s="64"/>
      <c r="W27" s="64"/>
      <c r="X27" s="64"/>
      <c r="Y27" s="64"/>
      <c r="Z27" s="64"/>
      <c r="AA27" s="64"/>
      <c r="AB27" s="64"/>
      <c r="AC27" s="64"/>
      <c r="AD27" s="64"/>
      <c r="AE27" s="64"/>
      <c r="AF27" s="64"/>
    </row>
    <row r="28" spans="1:32">
      <c r="A28" s="90">
        <f t="shared" si="2"/>
        <v>2032</v>
      </c>
      <c r="B28" s="109">
        <f>Production!N40*B$6+B$7*Production!G40</f>
        <v>116.16328681643834</v>
      </c>
      <c r="C28" s="109">
        <f>($B$9*Development!$B$23+(Development!$B$15-Development!$B$23)*Operations!$B$10)*Production!N40</f>
        <v>108.65859622641504</v>
      </c>
      <c r="D28" s="109">
        <f>$B$11*Production!M40/1000</f>
        <v>0</v>
      </c>
      <c r="E28" s="109">
        <f>$B$8*Production!N40</f>
        <v>4.4245559999999999</v>
      </c>
      <c r="F28" s="109">
        <f>$B$3*IF(Input!$B$13="Gas",Production!G40,Production!K40)</f>
        <v>142.56479899528762</v>
      </c>
      <c r="G28" s="109">
        <f t="shared" si="0"/>
        <v>371.81123803814103</v>
      </c>
      <c r="H28" s="105"/>
      <c r="I28" s="109">
        <f>IF(OR('Devel Overrides'!Q$17=Lists!A$37,Production!S40=0),0,INDEX('Devel Overrides'!$Q$29:$Q$69,Production!S40+1,1)*Production!$T$21+INDEX('Devel Overrides'!$Q$29:$Q$69,Production!S40,1)*Production!$T$22)*'Devel Overrides'!$Q$19</f>
        <v>0</v>
      </c>
      <c r="J28" s="105"/>
      <c r="K28" s="109">
        <f>IF($B$12=1,I28,G28)*'Selected Economics'!J20*'Sensitivity Ranges'!$F$44</f>
        <v>485.12933283851851</v>
      </c>
      <c r="L28" s="145"/>
      <c r="M28" s="109">
        <f>K28*Abandonment!H25</f>
        <v>485.12933283851851</v>
      </c>
      <c r="N28" s="105"/>
      <c r="O28" s="105"/>
      <c r="P28" s="109">
        <f t="shared" ca="1" si="1"/>
        <v>485.12933283851851</v>
      </c>
      <c r="Q28" s="105"/>
      <c r="R28" s="105"/>
      <c r="S28" s="176">
        <f>IF(G28&gt;0,M28*(1+$S$16)*(G28-D28)/G28+M28*(1+Development!$BP$89)*D28/G28,0)</f>
        <v>533.64226612237042</v>
      </c>
      <c r="T28" s="64"/>
      <c r="U28" s="64"/>
      <c r="V28" s="64"/>
      <c r="W28" s="64"/>
      <c r="X28" s="64"/>
      <c r="Y28" s="64"/>
      <c r="Z28" s="64"/>
      <c r="AA28" s="64"/>
      <c r="AB28" s="64"/>
      <c r="AC28" s="64"/>
      <c r="AD28" s="64"/>
      <c r="AE28" s="64"/>
      <c r="AF28" s="64"/>
    </row>
    <row r="29" spans="1:32">
      <c r="A29" s="90">
        <f t="shared" si="2"/>
        <v>2033</v>
      </c>
      <c r="B29" s="109">
        <f>Production!N41*B$6+B$7*Production!G41</f>
        <v>115.89093152876711</v>
      </c>
      <c r="C29" s="109">
        <f>($B$9*Development!$B$23+(Development!$B$15-Development!$B$23)*Operations!$B$10)*Production!N41</f>
        <v>108.65859622641504</v>
      </c>
      <c r="D29" s="109">
        <f>$B$11*Production!M41/1000</f>
        <v>0</v>
      </c>
      <c r="E29" s="109">
        <f>$B$8*Production!N41</f>
        <v>4.4245559999999999</v>
      </c>
      <c r="F29" s="109">
        <f>$B$3*IF(Input!$B$13="Gas",Production!G41,Production!K41)</f>
        <v>142.56479899528765</v>
      </c>
      <c r="G29" s="109">
        <f t="shared" si="0"/>
        <v>371.53888275046984</v>
      </c>
      <c r="H29" s="105"/>
      <c r="I29" s="109">
        <f>IF(OR('Devel Overrides'!Q$17=Lists!A$37,Production!S41=0),0,INDEX('Devel Overrides'!$Q$29:$Q$69,Production!S41+1,1)*Production!$T$21+INDEX('Devel Overrides'!$Q$29:$Q$69,Production!S41,1)*Production!$T$22)*'Devel Overrides'!$Q$19</f>
        <v>0</v>
      </c>
      <c r="J29" s="105"/>
      <c r="K29" s="109">
        <f>IF($B$12=1,I29,G29)*'Selected Economics'!J21*'Sensitivity Ranges'!$F$44</f>
        <v>499.31719009157177</v>
      </c>
      <c r="L29" s="145"/>
      <c r="M29" s="109">
        <f>K29*Abandonment!H26</f>
        <v>499.31719009157177</v>
      </c>
      <c r="N29" s="105"/>
      <c r="O29" s="105"/>
      <c r="P29" s="109">
        <f t="shared" ca="1" si="1"/>
        <v>499.31719009157177</v>
      </c>
      <c r="Q29" s="105"/>
      <c r="R29" s="105"/>
      <c r="S29" s="176">
        <f>IF(G29&gt;0,M29*(1+$S$16)*(G29-D29)/G29+M29*(1+Development!$BP$89)*D29/G29,0)</f>
        <v>549.24890910072895</v>
      </c>
      <c r="T29" s="64"/>
      <c r="U29" s="64"/>
      <c r="V29" s="64"/>
      <c r="W29" s="64"/>
      <c r="X29" s="64"/>
      <c r="Y29" s="64"/>
      <c r="Z29" s="64"/>
      <c r="AA29" s="64"/>
      <c r="AB29" s="64"/>
      <c r="AC29" s="64"/>
      <c r="AD29" s="64"/>
      <c r="AE29" s="64"/>
      <c r="AF29" s="64"/>
    </row>
    <row r="30" spans="1:32">
      <c r="A30" s="90">
        <f t="shared" si="2"/>
        <v>2034</v>
      </c>
      <c r="B30" s="109">
        <f>Production!N42*B$6+B$7*Production!G42</f>
        <v>115.89093152876711</v>
      </c>
      <c r="C30" s="109">
        <f>($B$9*Development!$B$23+(Development!$B$15-Development!$B$23)*Operations!$B$10)*Production!N42</f>
        <v>108.65859622641504</v>
      </c>
      <c r="D30" s="109">
        <f>$B$11*Production!M42/1000</f>
        <v>0</v>
      </c>
      <c r="E30" s="109">
        <f>$B$8*Production!N42</f>
        <v>4.4245559999999999</v>
      </c>
      <c r="F30" s="109">
        <f>$B$3*IF(Input!$B$13="Gas",Production!G42,Production!K42)</f>
        <v>142.56479899528765</v>
      </c>
      <c r="G30" s="109">
        <f t="shared" si="0"/>
        <v>371.53888275046984</v>
      </c>
      <c r="H30" s="105"/>
      <c r="I30" s="109">
        <f>IF(OR('Devel Overrides'!Q$17=Lists!A$37,Production!S42=0),0,INDEX('Devel Overrides'!$Q$29:$Q$69,Production!S42+1,1)*Production!$T$21+INDEX('Devel Overrides'!$Q$29:$Q$69,Production!S42,1)*Production!$T$22)*'Devel Overrides'!$Q$19</f>
        <v>0</v>
      </c>
      <c r="J30" s="105"/>
      <c r="K30" s="109">
        <f>IF($B$12=1,I30,G30)*'Selected Economics'!J22*'Sensitivity Ranges'!$F$44</f>
        <v>514.29670579431888</v>
      </c>
      <c r="L30" s="145"/>
      <c r="M30" s="109">
        <f>K30*Abandonment!H27</f>
        <v>514.29670579431888</v>
      </c>
      <c r="N30" s="105"/>
      <c r="O30" s="105"/>
      <c r="P30" s="109">
        <f t="shared" ca="1" si="1"/>
        <v>514.29670579431888</v>
      </c>
      <c r="Q30" s="105"/>
      <c r="R30" s="105"/>
      <c r="S30" s="176">
        <f>IF(G30&gt;0,M30*(1+$S$16)*(G30-D30)/G30+M30*(1+Development!$BP$89)*D30/G30,0)</f>
        <v>565.72637637375078</v>
      </c>
      <c r="T30" s="64"/>
      <c r="U30" s="64"/>
      <c r="V30" s="64"/>
      <c r="W30" s="64"/>
      <c r="X30" s="64"/>
      <c r="Y30" s="64"/>
      <c r="Z30" s="64"/>
      <c r="AA30" s="64"/>
      <c r="AB30" s="64"/>
      <c r="AC30" s="64"/>
      <c r="AD30" s="64"/>
      <c r="AE30" s="64"/>
      <c r="AF30" s="64"/>
    </row>
    <row r="31" spans="1:32">
      <c r="A31" s="90">
        <f t="shared" si="2"/>
        <v>2035</v>
      </c>
      <c r="B31" s="109">
        <f>Production!N43*B$6+B$7*Production!G43</f>
        <v>113.19885213389122</v>
      </c>
      <c r="C31" s="109">
        <f>($B$9*Development!$B$23+(Development!$B$15-Development!$B$23)*Operations!$B$10)*Production!N43</f>
        <v>108.65859622641504</v>
      </c>
      <c r="D31" s="109">
        <f>$B$11*Production!M43/1000</f>
        <v>0</v>
      </c>
      <c r="E31" s="109">
        <f>$B$8*Production!N43</f>
        <v>4.4245559999999999</v>
      </c>
      <c r="F31" s="109">
        <f>$B$3*IF(Input!$B$13="Gas",Production!G43,Production!K43)</f>
        <v>138.70405064754289</v>
      </c>
      <c r="G31" s="109">
        <f t="shared" si="0"/>
        <v>364.98605500784913</v>
      </c>
      <c r="H31" s="105"/>
      <c r="I31" s="109">
        <f>IF(OR('Devel Overrides'!Q$17=Lists!A$37,Production!S43=0),0,INDEX('Devel Overrides'!$Q$29:$Q$69,Production!S43+1,1)*Production!$T$21+INDEX('Devel Overrides'!$Q$29:$Q$69,Production!S43,1)*Production!$T$22)*'Devel Overrides'!$Q$19</f>
        <v>0</v>
      </c>
      <c r="J31" s="105"/>
      <c r="K31" s="109">
        <f>IF($B$12=1,I31,G31)*'Selected Economics'!J23*'Sensitivity Ranges'!$F$44</f>
        <v>520.38284147447939</v>
      </c>
      <c r="L31" s="145"/>
      <c r="M31" s="109">
        <f>K31*Abandonment!H28</f>
        <v>520.38284147447939</v>
      </c>
      <c r="N31" s="105"/>
      <c r="O31" s="105"/>
      <c r="P31" s="109">
        <f t="shared" ca="1" si="1"/>
        <v>520.38284147447939</v>
      </c>
      <c r="Q31" s="105"/>
      <c r="R31" s="105"/>
      <c r="S31" s="176">
        <f>IF(G31&gt;0,M31*(1+$S$16)*(G31-D31)/G31+M31*(1+Development!$BP$89)*D31/G31,0)</f>
        <v>572.42112562192733</v>
      </c>
      <c r="T31" s="64"/>
      <c r="U31" s="64"/>
      <c r="V31" s="64"/>
      <c r="W31" s="64"/>
      <c r="X31" s="64"/>
      <c r="Y31" s="64"/>
      <c r="Z31" s="64"/>
      <c r="AA31" s="64"/>
      <c r="AB31" s="64"/>
      <c r="AC31" s="64"/>
      <c r="AD31" s="64"/>
      <c r="AE31" s="64"/>
      <c r="AF31" s="64"/>
    </row>
    <row r="32" spans="1:32">
      <c r="A32" s="90">
        <f t="shared" si="2"/>
        <v>2036</v>
      </c>
      <c r="B32" s="109">
        <f>Production!N44*B$6+B$7*Production!G44</f>
        <v>100.10262708040705</v>
      </c>
      <c r="C32" s="109">
        <f>($B$9*Development!$B$23+(Development!$B$15-Development!$B$23)*Operations!$B$10)*Production!N44</f>
        <v>108.65859622641504</v>
      </c>
      <c r="D32" s="109">
        <f>$B$11*Production!M44/1000</f>
        <v>0</v>
      </c>
      <c r="E32" s="109">
        <f>$B$8*Production!N44</f>
        <v>4.4245559999999999</v>
      </c>
      <c r="F32" s="109">
        <f>$B$3*IF(Input!$B$13="Gas",Production!G44,Production!K44)</f>
        <v>119.5949156016427</v>
      </c>
      <c r="G32" s="109">
        <f t="shared" si="0"/>
        <v>332.7806949084648</v>
      </c>
      <c r="H32" s="105"/>
      <c r="I32" s="109">
        <f>IF(OR('Devel Overrides'!Q$17=Lists!A$37,Production!S44=0),0,INDEX('Devel Overrides'!$Q$29:$Q$69,Production!S44+1,1)*Production!$T$21+INDEX('Devel Overrides'!$Q$29:$Q$69,Production!S44,1)*Production!$T$22)*'Devel Overrides'!$Q$19</f>
        <v>0</v>
      </c>
      <c r="J32" s="105"/>
      <c r="K32" s="109">
        <f>IF($B$12=1,I32,G32)*'Selected Economics'!J24*'Sensitivity Ranges'!$F$44</f>
        <v>488.69966965892007</v>
      </c>
      <c r="L32" s="145"/>
      <c r="M32" s="109">
        <f>K32*Abandonment!H29</f>
        <v>488.69966965892007</v>
      </c>
      <c r="N32" s="105"/>
      <c r="O32" s="105"/>
      <c r="P32" s="109">
        <f t="shared" ca="1" si="1"/>
        <v>488.69966965892007</v>
      </c>
      <c r="Q32" s="105"/>
      <c r="R32" s="105"/>
      <c r="S32" s="176">
        <f>IF(G32&gt;0,M32*(1+$S$16)*(G32-D32)/G32+M32*(1+Development!$BP$89)*D32/G32,0)</f>
        <v>537.56963662481212</v>
      </c>
      <c r="T32" s="64"/>
      <c r="U32" s="64"/>
      <c r="V32" s="64"/>
      <c r="W32" s="64"/>
      <c r="X32" s="64"/>
      <c r="Y32" s="64"/>
      <c r="Z32" s="64"/>
      <c r="AA32" s="64"/>
      <c r="AB32" s="64"/>
      <c r="AC32" s="64"/>
      <c r="AD32" s="64"/>
      <c r="AE32" s="64"/>
      <c r="AF32" s="64"/>
    </row>
    <row r="33" spans="1:32">
      <c r="A33" s="90">
        <f t="shared" si="2"/>
        <v>2037</v>
      </c>
      <c r="B33" s="109">
        <f>Production!N45*B$6+B$7*Production!G45</f>
        <v>87.349011306046876</v>
      </c>
      <c r="C33" s="109">
        <f>($B$9*Development!$B$23+(Development!$B$15-Development!$B$23)*Operations!$B$10)*Production!N45</f>
        <v>108.65859622641504</v>
      </c>
      <c r="D33" s="109">
        <f>$B$11*Production!M45/1000</f>
        <v>0</v>
      </c>
      <c r="E33" s="109">
        <f>$B$8*Production!N45</f>
        <v>4.4245559999999999</v>
      </c>
      <c r="F33" s="109">
        <f>$B$3*IF(Input!$B$13="Gas",Production!G45,Production!K45)</f>
        <v>101.63243587439595</v>
      </c>
      <c r="G33" s="109">
        <f t="shared" si="0"/>
        <v>302.06459940685784</v>
      </c>
      <c r="H33" s="105"/>
      <c r="I33" s="109">
        <f>IF(OR('Devel Overrides'!Q$17=Lists!A$37,Production!S45=0),0,INDEX('Devel Overrides'!$Q$29:$Q$69,Production!S45+1,1)*Production!$T$21+INDEX('Devel Overrides'!$Q$29:$Q$69,Production!S45,1)*Production!$T$22)*'Devel Overrides'!$Q$19</f>
        <v>0</v>
      </c>
      <c r="J33" s="105"/>
      <c r="K33" s="109">
        <f>IF($B$12=1,I33,G33)*'Selected Economics'!J25*'Sensitivity Ranges'!$F$44</f>
        <v>456.89980930528867</v>
      </c>
      <c r="L33" s="145"/>
      <c r="M33" s="109">
        <f>K33*Abandonment!H30</f>
        <v>456.89980930528867</v>
      </c>
      <c r="N33" s="105"/>
      <c r="O33" s="105"/>
      <c r="P33" s="109">
        <f t="shared" ca="1" si="1"/>
        <v>456.89980930528867</v>
      </c>
      <c r="Q33" s="105"/>
      <c r="R33" s="105"/>
      <c r="S33" s="176">
        <f>IF(G33&gt;0,M33*(1+$S$16)*(G33-D33)/G33+M33*(1+Development!$BP$89)*D33/G33,0)</f>
        <v>502.58979023581759</v>
      </c>
      <c r="T33" s="64"/>
      <c r="U33" s="64"/>
      <c r="V33" s="64"/>
      <c r="W33" s="64"/>
      <c r="X33" s="64"/>
      <c r="Y33" s="64"/>
      <c r="Z33" s="64"/>
      <c r="AA33" s="64"/>
      <c r="AB33" s="64"/>
      <c r="AC33" s="64"/>
      <c r="AD33" s="64"/>
      <c r="AE33" s="64"/>
      <c r="AF33" s="64"/>
    </row>
    <row r="34" spans="1:32">
      <c r="A34" s="90">
        <f t="shared" si="2"/>
        <v>2038</v>
      </c>
      <c r="B34" s="109">
        <f>Production!N46*B$6+B$7*Production!G46</f>
        <v>76.718847339454882</v>
      </c>
      <c r="C34" s="109">
        <f>($B$9*Development!$B$23+(Development!$B$15-Development!$B$23)*Operations!$B$10)*Production!N46</f>
        <v>108.65859622641504</v>
      </c>
      <c r="D34" s="109">
        <f>$B$11*Production!M46/1000</f>
        <v>0</v>
      </c>
      <c r="E34" s="109">
        <f>$B$8*Production!N46</f>
        <v>4.4245559999999999</v>
      </c>
      <c r="F34" s="109">
        <f>$B$3*IF(Input!$B$13="Gas",Production!G46,Production!K46)</f>
        <v>86.38757049323651</v>
      </c>
      <c r="G34" s="109">
        <f t="shared" si="0"/>
        <v>276.18957005910642</v>
      </c>
      <c r="H34" s="105"/>
      <c r="I34" s="109">
        <f>IF(OR('Devel Overrides'!Q$17=Lists!A$37,Production!S46=0),0,INDEX('Devel Overrides'!$Q$29:$Q$69,Production!S46+1,1)*Production!$T$21+INDEX('Devel Overrides'!$Q$29:$Q$69,Production!S46,1)*Production!$T$22)*'Devel Overrides'!$Q$19</f>
        <v>0</v>
      </c>
      <c r="J34" s="105"/>
      <c r="K34" s="109">
        <f>IF($B$12=1,I34,G34)*'Selected Economics'!J26*'Sensitivity Ranges'!$F$44</f>
        <v>430.29435095706208</v>
      </c>
      <c r="L34" s="145"/>
      <c r="M34" s="109">
        <f>K34*Abandonment!H31</f>
        <v>430.29435095706208</v>
      </c>
      <c r="N34" s="105"/>
      <c r="O34" s="105"/>
      <c r="P34" s="109">
        <f t="shared" ca="1" si="1"/>
        <v>430.29435095706208</v>
      </c>
      <c r="Q34" s="105"/>
      <c r="R34" s="105"/>
      <c r="S34" s="176">
        <f>IF(G34&gt;0,M34*(1+$S$16)*(G34-D34)/G34+M34*(1+Development!$BP$89)*D34/G34,0)</f>
        <v>473.3237860527683</v>
      </c>
      <c r="T34" s="64"/>
      <c r="U34" s="64"/>
      <c r="V34" s="64"/>
      <c r="W34" s="64"/>
      <c r="X34" s="64"/>
      <c r="Y34" s="64"/>
      <c r="Z34" s="64"/>
      <c r="AA34" s="64"/>
      <c r="AB34" s="64"/>
      <c r="AC34" s="64"/>
      <c r="AD34" s="64"/>
      <c r="AE34" s="64"/>
      <c r="AF34" s="64"/>
    </row>
    <row r="35" spans="1:32">
      <c r="A35" s="90">
        <f t="shared" si="2"/>
        <v>2039</v>
      </c>
      <c r="B35" s="109">
        <f>Production!N47*B$6+B$7*Production!G47</f>
        <v>67.6832079678517</v>
      </c>
      <c r="C35" s="109">
        <f>($B$9*Development!$B$23+(Development!$B$15-Development!$B$23)*Operations!$B$10)*Production!N47</f>
        <v>108.65859622641504</v>
      </c>
      <c r="D35" s="109">
        <f>$B$11*Production!M47/1000</f>
        <v>0</v>
      </c>
      <c r="E35" s="109">
        <f>$B$8*Production!N47</f>
        <v>4.4245559999999999</v>
      </c>
      <c r="F35" s="109">
        <f>$B$3*IF(Input!$B$13="Gas",Production!G47,Production!K47)</f>
        <v>73.429434919251023</v>
      </c>
      <c r="G35" s="109">
        <f t="shared" si="0"/>
        <v>254.19579511351776</v>
      </c>
      <c r="H35" s="105"/>
      <c r="I35" s="109">
        <f>IF(OR('Devel Overrides'!Q$17=Lists!A$37,Production!S47=0),0,INDEX('Devel Overrides'!$Q$29:$Q$69,Production!S47+1,1)*Production!$T$21+INDEX('Devel Overrides'!$Q$29:$Q$69,Production!S47,1)*Production!$T$22)*'Devel Overrides'!$Q$19</f>
        <v>0</v>
      </c>
      <c r="J35" s="105"/>
      <c r="K35" s="109">
        <f>IF($B$12=1,I35,G35)*'Selected Economics'!J27*'Sensitivity Ranges'!$F$44</f>
        <v>407.90962921049828</v>
      </c>
      <c r="L35" s="145"/>
      <c r="M35" s="109">
        <f>K35*Abandonment!H32</f>
        <v>407.90962921049828</v>
      </c>
      <c r="N35" s="105"/>
      <c r="O35" s="105"/>
      <c r="P35" s="109">
        <f t="shared" ca="1" si="1"/>
        <v>407.90962921049828</v>
      </c>
      <c r="Q35" s="105"/>
      <c r="R35" s="105"/>
      <c r="S35" s="176">
        <f>IF(G35&gt;0,M35*(1+$S$16)*(G35-D35)/G35+M35*(1+Development!$BP$89)*D35/G35,0)</f>
        <v>448.70059213154815</v>
      </c>
      <c r="T35" s="64"/>
      <c r="U35" s="64"/>
      <c r="V35" s="64"/>
      <c r="W35" s="64"/>
      <c r="X35" s="64"/>
      <c r="Y35" s="64"/>
      <c r="Z35" s="64"/>
      <c r="AA35" s="64"/>
      <c r="AB35" s="64"/>
      <c r="AC35" s="64"/>
      <c r="AD35" s="64"/>
      <c r="AE35" s="64"/>
      <c r="AF35" s="64"/>
    </row>
    <row r="36" spans="1:32">
      <c r="A36" s="90">
        <f t="shared" si="2"/>
        <v>2040</v>
      </c>
      <c r="B36" s="109">
        <f>Production!N48*B$6+B$7*Production!G48</f>
        <v>60.112700651597208</v>
      </c>
      <c r="C36" s="109">
        <f>($B$9*Development!$B$23+(Development!$B$15-Development!$B$23)*Operations!$B$10)*Production!N48</f>
        <v>108.65859622641504</v>
      </c>
      <c r="D36" s="109">
        <f>$B$11*Production!M48/1000</f>
        <v>0</v>
      </c>
      <c r="E36" s="109">
        <f>$B$8*Production!N48</f>
        <v>4.4245559999999999</v>
      </c>
      <c r="F36" s="109">
        <f>$B$3*IF(Input!$B$13="Gas",Production!G48,Production!K48)</f>
        <v>62.401502498602433</v>
      </c>
      <c r="G36" s="109">
        <f t="shared" si="0"/>
        <v>235.5973553766147</v>
      </c>
      <c r="H36" s="105"/>
      <c r="I36" s="109">
        <f>IF(OR('Devel Overrides'!Q$17=Lists!A$37,Production!S48=0),0,INDEX('Devel Overrides'!$Q$29:$Q$69,Production!S48+1,1)*Production!$T$21+INDEX('Devel Overrides'!$Q$29:$Q$69,Production!S48,1)*Production!$T$22)*'Devel Overrides'!$Q$19</f>
        <v>0</v>
      </c>
      <c r="J36" s="105"/>
      <c r="K36" s="109">
        <f>IF($B$12=1,I36,G36)*'Selected Economics'!J28*'Sensitivity Ranges'!$F$44</f>
        <v>389.40653100372413</v>
      </c>
      <c r="L36" s="145"/>
      <c r="M36" s="109">
        <f>K36*Abandonment!H33</f>
        <v>389.40653100372413</v>
      </c>
      <c r="N36" s="105"/>
      <c r="O36" s="105"/>
      <c r="P36" s="109">
        <f t="shared" ca="1" si="1"/>
        <v>389.40653100372413</v>
      </c>
      <c r="Q36" s="105"/>
      <c r="R36" s="105"/>
      <c r="S36" s="176">
        <f>IF(G36&gt;0,M36*(1+$S$16)*(G36-D36)/G36+M36*(1+Development!$BP$89)*D36/G36,0)</f>
        <v>428.34718410409658</v>
      </c>
      <c r="T36" s="64"/>
      <c r="U36" s="64"/>
      <c r="V36" s="64"/>
      <c r="W36" s="64"/>
      <c r="X36" s="64"/>
      <c r="Y36" s="64"/>
      <c r="Z36" s="64"/>
      <c r="AA36" s="64"/>
      <c r="AB36" s="64"/>
      <c r="AC36" s="64"/>
      <c r="AD36" s="64"/>
      <c r="AE36" s="64"/>
      <c r="AF36" s="64"/>
    </row>
    <row r="37" spans="1:32">
      <c r="A37" s="90">
        <f t="shared" si="2"/>
        <v>2041</v>
      </c>
      <c r="B37" s="109">
        <f>Production!N49*B$6+B$7*Production!G49</f>
        <v>53.458197133564497</v>
      </c>
      <c r="C37" s="109">
        <f>($B$9*Development!$B$23+(Development!$B$15-Development!$B$23)*Operations!$B$10)*Production!N49</f>
        <v>108.65859622641504</v>
      </c>
      <c r="D37" s="109">
        <f>$B$11*Production!M49/1000</f>
        <v>0</v>
      </c>
      <c r="E37" s="109">
        <f>$B$8*Production!N49</f>
        <v>4.4245559999999999</v>
      </c>
      <c r="F37" s="109">
        <f>$B$3*IF(Input!$B$13="Gas",Production!G49,Production!K49)</f>
        <v>53.029149853491383</v>
      </c>
      <c r="G37" s="109">
        <f t="shared" si="0"/>
        <v>219.57049921347092</v>
      </c>
      <c r="H37" s="105"/>
      <c r="I37" s="109">
        <f>IF(OR('Devel Overrides'!Q$17=Lists!A$37,Production!S49=0),0,INDEX('Devel Overrides'!$Q$29:$Q$69,Production!S49+1,1)*Production!$T$21+INDEX('Devel Overrides'!$Q$29:$Q$69,Production!S49,1)*Production!$T$22)*'Devel Overrides'!$Q$19</f>
        <v>0</v>
      </c>
      <c r="J37" s="105"/>
      <c r="K37" s="109">
        <f>IF($B$12=1,I37,G37)*'Selected Economics'!J29*'Sensitivity Ranges'!$F$44</f>
        <v>373.80407713396335</v>
      </c>
      <c r="L37" s="145"/>
      <c r="M37" s="109">
        <f>K37*Abandonment!H34</f>
        <v>373.80407713396335</v>
      </c>
      <c r="N37" s="105"/>
      <c r="O37" s="105"/>
      <c r="P37" s="109">
        <f t="shared" ca="1" si="1"/>
        <v>373.80407713396335</v>
      </c>
      <c r="Q37" s="105"/>
      <c r="R37" s="105"/>
      <c r="S37" s="176">
        <f>IF(G37&gt;0,M37*(1+$S$16)*(G37-D37)/G37+M37*(1+Development!$BP$89)*D37/G37,0)</f>
        <v>411.18448484735973</v>
      </c>
      <c r="T37" s="64"/>
      <c r="U37" s="64"/>
      <c r="V37" s="64"/>
      <c r="W37" s="64"/>
      <c r="X37" s="64"/>
      <c r="Y37" s="64"/>
      <c r="Z37" s="64"/>
      <c r="AA37" s="64"/>
      <c r="AB37" s="64"/>
      <c r="AC37" s="64"/>
      <c r="AD37" s="64"/>
      <c r="AE37" s="64"/>
      <c r="AF37" s="64"/>
    </row>
    <row r="38" spans="1:32">
      <c r="A38" s="90">
        <f t="shared" si="2"/>
        <v>2042</v>
      </c>
      <c r="B38" s="109">
        <f>Production!N50*B$6+B$7*Production!G50</f>
        <v>47.911655292844934</v>
      </c>
      <c r="C38" s="109">
        <f>($B$9*Development!$B$23+(Development!$B$15-Development!$B$23)*Operations!$B$10)*Production!N50</f>
        <v>108.65859622641504</v>
      </c>
      <c r="D38" s="109">
        <f>$B$11*Production!M50/1000</f>
        <v>0</v>
      </c>
      <c r="E38" s="109">
        <f>$B$8*Production!N50</f>
        <v>4.4245559999999999</v>
      </c>
      <c r="F38" s="109">
        <f>$B$3*IF(Input!$B$13="Gas",Production!G50,Production!K50)</f>
        <v>45.074777375467725</v>
      </c>
      <c r="G38" s="109">
        <f t="shared" si="0"/>
        <v>206.06958489472771</v>
      </c>
      <c r="H38" s="105"/>
      <c r="I38" s="109">
        <f>IF(OR('Devel Overrides'!Q$17=Lists!A$37,Production!S50=0),0,INDEX('Devel Overrides'!$Q$29:$Q$69,Production!S50+1,1)*Production!$T$21+INDEX('Devel Overrides'!$Q$29:$Q$69,Production!S50,1)*Production!$T$22)*'Devel Overrides'!$Q$19</f>
        <v>0</v>
      </c>
      <c r="J38" s="105"/>
      <c r="K38" s="109">
        <f>IF($B$12=1,I38,G38)*'Selected Economics'!J30*'Sensitivity Ranges'!$F$44</f>
        <v>361.34426446799074</v>
      </c>
      <c r="L38" s="145"/>
      <c r="M38" s="109">
        <f>K38*Abandonment!H35</f>
        <v>361.34426446799074</v>
      </c>
      <c r="N38" s="105"/>
      <c r="O38" s="105"/>
      <c r="P38" s="109">
        <f t="shared" ca="1" si="1"/>
        <v>361.34426446799074</v>
      </c>
      <c r="Q38" s="105"/>
      <c r="R38" s="105"/>
      <c r="S38" s="176">
        <f>IF(G38&gt;0,M38*(1+$S$16)*(G38-D38)/G38+M38*(1+Development!$BP$89)*D38/G38,0)</f>
        <v>397.47869091478987</v>
      </c>
      <c r="T38" s="64"/>
      <c r="U38" s="64"/>
      <c r="V38" s="64"/>
      <c r="W38" s="64"/>
      <c r="X38" s="64"/>
      <c r="Y38" s="64"/>
      <c r="Z38" s="64"/>
      <c r="AA38" s="64"/>
      <c r="AB38" s="64"/>
      <c r="AC38" s="64"/>
      <c r="AD38" s="64"/>
      <c r="AE38" s="64"/>
      <c r="AF38" s="64"/>
    </row>
    <row r="39" spans="1:32">
      <c r="A39" s="90">
        <f t="shared" si="2"/>
        <v>2043</v>
      </c>
      <c r="B39" s="109">
        <f>Production!N51*B$6+B$7*Production!G51</f>
        <v>43.197094728233225</v>
      </c>
      <c r="C39" s="109">
        <f>($B$9*Development!$B$23+(Development!$B$15-Development!$B$23)*Operations!$B$10)*Production!N51</f>
        <v>108.65859622641504</v>
      </c>
      <c r="D39" s="109">
        <f>$B$11*Production!M51/1000</f>
        <v>0</v>
      </c>
      <c r="E39" s="109">
        <f>$B$8*Production!N51</f>
        <v>4.4245559999999999</v>
      </c>
      <c r="F39" s="109">
        <f>$B$3*IF(Input!$B$13="Gas",Production!G51,Production!K51)</f>
        <v>38.313560769147522</v>
      </c>
      <c r="G39" s="109">
        <f t="shared" si="0"/>
        <v>194.59380772379578</v>
      </c>
      <c r="H39" s="105"/>
      <c r="I39" s="109">
        <f>IF(OR('Devel Overrides'!Q$17=Lists!A$37,Production!S51=0),0,INDEX('Devel Overrides'!$Q$29:$Q$69,Production!S51+1,1)*Production!$T$21+INDEX('Devel Overrides'!$Q$29:$Q$69,Production!S51,1)*Production!$T$22)*'Devel Overrides'!$Q$19</f>
        <v>0</v>
      </c>
      <c r="J39" s="105"/>
      <c r="K39" s="109">
        <f>IF($B$12=1,I39,G39)*'Selected Economics'!J31*'Sensitivity Ranges'!$F$44</f>
        <v>351.45806232704751</v>
      </c>
      <c r="L39" s="145"/>
      <c r="M39" s="109">
        <f>K39*Abandonment!H36</f>
        <v>351.45806232704751</v>
      </c>
      <c r="N39" s="105"/>
      <c r="O39" s="105"/>
      <c r="P39" s="109">
        <f t="shared" ca="1" si="1"/>
        <v>351.45806232704751</v>
      </c>
      <c r="Q39" s="105"/>
      <c r="R39" s="105"/>
      <c r="S39" s="176">
        <f>IF(G39&gt;0,M39*(1+$S$16)*(G39-D39)/G39+M39*(1+Development!$BP$89)*D39/G39,0)</f>
        <v>386.60386855975224</v>
      </c>
      <c r="T39" s="64"/>
      <c r="U39" s="64"/>
      <c r="V39" s="64"/>
      <c r="W39" s="64"/>
      <c r="X39" s="64"/>
      <c r="Y39" s="64"/>
      <c r="Z39" s="64"/>
      <c r="AA39" s="64"/>
      <c r="AB39" s="64"/>
      <c r="AC39" s="64"/>
      <c r="AD39" s="64"/>
      <c r="AE39" s="64"/>
      <c r="AF39" s="64"/>
    </row>
    <row r="40" spans="1:32">
      <c r="A40" s="90">
        <f t="shared" si="2"/>
        <v>2044</v>
      </c>
      <c r="B40" s="109">
        <f>Production!N52*B$6+B$7*Production!G52</f>
        <v>39.247001792974231</v>
      </c>
      <c r="C40" s="109">
        <f>($B$9*Development!$B$23+(Development!$B$15-Development!$B$23)*Operations!$B$10)*Production!N52</f>
        <v>108.65859622641504</v>
      </c>
      <c r="D40" s="109">
        <f>$B$11*Production!M52/1000</f>
        <v>0</v>
      </c>
      <c r="E40" s="109">
        <f>$B$8*Production!N52</f>
        <v>4.4245559999999999</v>
      </c>
      <c r="F40" s="109">
        <f>$B$3*IF(Input!$B$13="Gas",Production!G52,Production!K52)</f>
        <v>32.559473740952221</v>
      </c>
      <c r="G40" s="109">
        <f t="shared" si="0"/>
        <v>184.88962776034151</v>
      </c>
      <c r="H40" s="105"/>
      <c r="I40" s="109">
        <f>IF(OR('Devel Overrides'!Q$17=Lists!A$37,Production!S52=0),0,INDEX('Devel Overrides'!$Q$29:$Q$69,Production!S52+1,1)*Production!$T$21+INDEX('Devel Overrides'!$Q$29:$Q$69,Production!S52,1)*Production!$T$22)*'Devel Overrides'!$Q$19</f>
        <v>0</v>
      </c>
      <c r="J40" s="105"/>
      <c r="K40" s="109">
        <f>IF($B$12=1,I40,G40)*'Selected Economics'!J32*'Sensitivity Ranges'!$F$44</f>
        <v>343.94917088795296</v>
      </c>
      <c r="L40" s="145"/>
      <c r="M40" s="109">
        <f>K40*Abandonment!H37</f>
        <v>343.94917088795296</v>
      </c>
      <c r="N40" s="105"/>
      <c r="O40" s="105"/>
      <c r="P40" s="109">
        <f t="shared" ca="1" si="1"/>
        <v>343.94917088795296</v>
      </c>
      <c r="Q40" s="105"/>
      <c r="R40" s="105"/>
      <c r="S40" s="176">
        <f>IF(G40&gt;0,M40*(1+$S$16)*(G40-D40)/G40+M40*(1+Development!$BP$89)*D40/G40,0)</f>
        <v>378.34408797674826</v>
      </c>
      <c r="T40" s="64"/>
      <c r="U40" s="64"/>
      <c r="V40" s="64"/>
      <c r="W40" s="64"/>
      <c r="X40" s="64"/>
      <c r="Y40" s="64"/>
      <c r="Z40" s="64"/>
      <c r="AA40" s="64"/>
      <c r="AB40" s="64"/>
      <c r="AC40" s="64"/>
      <c r="AD40" s="64"/>
      <c r="AE40" s="64"/>
      <c r="AF40" s="64"/>
    </row>
    <row r="41" spans="1:32">
      <c r="A41" s="90">
        <f t="shared" si="2"/>
        <v>2045</v>
      </c>
      <c r="B41" s="109">
        <f>Production!N53*B$6+B$7*Production!G53</f>
        <v>35.774855708682288</v>
      </c>
      <c r="C41" s="109">
        <f>($B$9*Development!$B$23+(Development!$B$15-Development!$B$23)*Operations!$B$10)*Production!N53</f>
        <v>108.65859622641504</v>
      </c>
      <c r="D41" s="109">
        <f>$B$11*Production!M53/1000</f>
        <v>0</v>
      </c>
      <c r="E41" s="109">
        <f>$B$8*Production!N53</f>
        <v>4.4245559999999999</v>
      </c>
      <c r="F41" s="109">
        <f>$B$3*IF(Input!$B$13="Gas",Production!G53,Production!K53)</f>
        <v>27.669224986985657</v>
      </c>
      <c r="G41" s="109">
        <f t="shared" si="0"/>
        <v>176.52723292208299</v>
      </c>
      <c r="H41" s="105"/>
      <c r="I41" s="109">
        <f>IF(OR('Devel Overrides'!Q$17=Lists!A$37,Production!S53=0),0,INDEX('Devel Overrides'!$Q$29:$Q$69,Production!S53+1,1)*Production!$T$21+INDEX('Devel Overrides'!$Q$29:$Q$69,Production!S53,1)*Production!$T$22)*'Devel Overrides'!$Q$19</f>
        <v>0</v>
      </c>
      <c r="J41" s="105"/>
      <c r="K41" s="109">
        <f>IF($B$12=1,I41,G41)*'Selected Economics'!J33*'Sensitivity Ranges'!$F$44</f>
        <v>338.24443275876462</v>
      </c>
      <c r="L41" s="145"/>
      <c r="M41" s="109">
        <f>K41*Abandonment!H38</f>
        <v>338.24443275876462</v>
      </c>
      <c r="N41" s="105"/>
      <c r="O41" s="105"/>
      <c r="P41" s="109">
        <f t="shared" ca="1" si="1"/>
        <v>338.24443275876462</v>
      </c>
      <c r="Q41" s="105"/>
      <c r="R41" s="105"/>
      <c r="S41" s="176">
        <f>IF(G41&gt;0,M41*(1+$S$16)*(G41-D41)/G41+M41*(1+Development!$BP$89)*D41/G41,0)</f>
        <v>372.06887603464111</v>
      </c>
      <c r="T41" s="64"/>
      <c r="U41" s="64"/>
      <c r="V41" s="64"/>
      <c r="W41" s="64"/>
      <c r="X41" s="64"/>
      <c r="Y41" s="64"/>
      <c r="Z41" s="64"/>
      <c r="AA41" s="64"/>
      <c r="AB41" s="64"/>
      <c r="AC41" s="64"/>
      <c r="AD41" s="64"/>
      <c r="AE41" s="64"/>
      <c r="AF41" s="64"/>
    </row>
    <row r="42" spans="1:32">
      <c r="A42" s="90">
        <f t="shared" si="2"/>
        <v>2046</v>
      </c>
      <c r="B42" s="109">
        <f>Production!N54*B$6+B$7*Production!G54</f>
        <v>32.880815081694969</v>
      </c>
      <c r="C42" s="109">
        <f>($B$9*Development!$B$23+(Development!$B$15-Development!$B$23)*Operations!$B$10)*Production!N54</f>
        <v>108.65859622641504</v>
      </c>
      <c r="D42" s="109">
        <f>$B$11*Production!M54/1000</f>
        <v>0</v>
      </c>
      <c r="E42" s="109">
        <f>$B$8*Production!N54</f>
        <v>4.4245559999999999</v>
      </c>
      <c r="F42" s="109">
        <f>$B$3*IF(Input!$B$13="Gas",Production!G54,Production!K54)</f>
        <v>23.51884123893775</v>
      </c>
      <c r="G42" s="109">
        <f t="shared" si="0"/>
        <v>169.48280854704774</v>
      </c>
      <c r="H42" s="105"/>
      <c r="I42" s="109">
        <f>IF(OR('Devel Overrides'!Q$17=Lists!A$37,Production!S54=0),0,INDEX('Devel Overrides'!$Q$29:$Q$69,Production!S54+1,1)*Production!$T$21+INDEX('Devel Overrides'!$Q$29:$Q$69,Production!S54,1)*Production!$T$22)*'Devel Overrides'!$Q$19</f>
        <v>0</v>
      </c>
      <c r="J42" s="105"/>
      <c r="K42" s="109">
        <f>IF($B$12=1,I42,G42)*'Selected Economics'!J34*'Sensitivity Ranges'!$F$44</f>
        <v>334.48898481630653</v>
      </c>
      <c r="L42" s="145"/>
      <c r="M42" s="109">
        <f>K42*Abandonment!H39</f>
        <v>334.48898481630653</v>
      </c>
      <c r="N42" s="105"/>
      <c r="O42" s="105"/>
      <c r="P42" s="109">
        <f t="shared" ca="1" si="1"/>
        <v>334.48898481630653</v>
      </c>
      <c r="Q42" s="105"/>
      <c r="R42" s="105"/>
      <c r="S42" s="176">
        <f>IF(G42&gt;0,M42*(1+$S$16)*(G42-D42)/G42+M42*(1+Development!$BP$89)*D42/G42,0)</f>
        <v>367.93788329793722</v>
      </c>
      <c r="T42" s="64"/>
      <c r="U42" s="64"/>
      <c r="V42" s="64"/>
      <c r="W42" s="64"/>
      <c r="X42" s="64"/>
      <c r="Y42" s="64"/>
      <c r="Z42" s="64"/>
      <c r="AA42" s="64"/>
      <c r="AB42" s="64"/>
      <c r="AC42" s="64"/>
      <c r="AD42" s="64"/>
      <c r="AE42" s="64"/>
      <c r="AF42" s="64"/>
    </row>
    <row r="43" spans="1:32">
      <c r="A43" s="90">
        <f t="shared" si="2"/>
        <v>2047</v>
      </c>
      <c r="B43" s="109">
        <f>Production!N55*B$6+B$7*Production!G55</f>
        <v>30.420880548755775</v>
      </c>
      <c r="C43" s="109">
        <f>($B$9*Development!$B$23+(Development!$B$15-Development!$B$23)*Operations!$B$10)*Production!N55</f>
        <v>108.65859622641504</v>
      </c>
      <c r="D43" s="109">
        <f>$B$11*Production!M55/1000</f>
        <v>0</v>
      </c>
      <c r="E43" s="109">
        <f>$B$8*Production!N55</f>
        <v>4.4245559999999999</v>
      </c>
      <c r="F43" s="109">
        <f>$B$3*IF(Input!$B$13="Gas",Production!G55,Production!K55)</f>
        <v>19.991015053097065</v>
      </c>
      <c r="G43" s="109">
        <f t="shared" si="0"/>
        <v>163.49504782826787</v>
      </c>
      <c r="H43" s="105"/>
      <c r="I43" s="109">
        <f>IF(OR('Devel Overrides'!Q$17=Lists!A$37,Production!S55=0),0,INDEX('Devel Overrides'!$Q$29:$Q$69,Production!S55+1,1)*Production!$T$21+INDEX('Devel Overrides'!$Q$29:$Q$69,Production!S55,1)*Production!$T$22)*'Devel Overrides'!$Q$19</f>
        <v>0</v>
      </c>
      <c r="J43" s="105"/>
      <c r="K43" s="109">
        <f>IF($B$12=1,I43,G43)*'Selected Economics'!J35*'Sensitivity Ranges'!$F$44</f>
        <v>332.35176966076489</v>
      </c>
      <c r="L43" s="145"/>
      <c r="M43" s="109">
        <f>K43*Abandonment!H40</f>
        <v>332.35176966076489</v>
      </c>
      <c r="N43" s="105"/>
      <c r="O43" s="105"/>
      <c r="P43" s="109">
        <f t="shared" ca="1" si="1"/>
        <v>332.35176966076489</v>
      </c>
      <c r="Q43" s="105"/>
      <c r="R43" s="105"/>
      <c r="S43" s="176">
        <f>IF(G43&gt;0,M43*(1+$S$16)*(G43-D43)/G43+M43*(1+Development!$BP$89)*D43/G43,0)</f>
        <v>365.58694662684138</v>
      </c>
      <c r="T43" s="64"/>
      <c r="U43" s="64"/>
      <c r="V43" s="64"/>
      <c r="W43" s="64"/>
      <c r="X43" s="64"/>
      <c r="Y43" s="64"/>
      <c r="Z43" s="64"/>
      <c r="AA43" s="64"/>
      <c r="AB43" s="64"/>
      <c r="AC43" s="64"/>
      <c r="AD43" s="64"/>
      <c r="AE43" s="64"/>
      <c r="AF43" s="64"/>
    </row>
    <row r="44" spans="1:32">
      <c r="A44" s="90">
        <f t="shared" si="2"/>
        <v>2048</v>
      </c>
      <c r="B44" s="109">
        <f>Production!N56*B$6+B$7*Production!G56</f>
        <v>28.359825252807354</v>
      </c>
      <c r="C44" s="109">
        <f>($B$9*Development!$B$23+(Development!$B$15-Development!$B$23)*Operations!$B$10)*Production!N56</f>
        <v>108.65859622641504</v>
      </c>
      <c r="D44" s="109">
        <f>$B$11*Production!M56/1000</f>
        <v>0</v>
      </c>
      <c r="E44" s="109">
        <f>$B$8*Production!N56</f>
        <v>4.4245559999999999</v>
      </c>
      <c r="F44" s="109">
        <f>$B$3*IF(Input!$B$13="Gas",Production!G56,Production!K56)</f>
        <v>16.98868276948145</v>
      </c>
      <c r="G44" s="109">
        <f t="shared" si="0"/>
        <v>158.43166024870385</v>
      </c>
      <c r="H44" s="105"/>
      <c r="I44" s="109">
        <f>IF(OR('Devel Overrides'!Q$17=Lists!A$37,Production!S56=0),0,INDEX('Devel Overrides'!$Q$29:$Q$69,Production!S56+1,1)*Production!$T$21+INDEX('Devel Overrides'!$Q$29:$Q$69,Production!S56,1)*Production!$T$22)*'Devel Overrides'!$Q$19</f>
        <v>0</v>
      </c>
      <c r="J44" s="105"/>
      <c r="K44" s="109">
        <f>IF($B$12=1,I44,G44)*'Selected Economics'!J36*'Sensitivity Ranges'!$F$44</f>
        <v>331.72071358721138</v>
      </c>
      <c r="L44" s="145"/>
      <c r="M44" s="109">
        <f>K44*Abandonment!H41</f>
        <v>331.72071358721138</v>
      </c>
      <c r="N44" s="105"/>
      <c r="O44" s="105"/>
      <c r="P44" s="109">
        <f t="shared" ca="1" si="1"/>
        <v>331.72071358721138</v>
      </c>
      <c r="Q44" s="105"/>
      <c r="R44" s="105"/>
      <c r="S44" s="176">
        <f>IF(G44&gt;0,M44*(1+$S$16)*(G44-D44)/G44+M44*(1+Development!$BP$89)*D44/G44,0)</f>
        <v>364.89278494593253</v>
      </c>
      <c r="T44" s="64"/>
      <c r="U44" s="64"/>
      <c r="V44" s="64"/>
      <c r="W44" s="64"/>
      <c r="X44" s="64"/>
      <c r="Y44" s="64"/>
      <c r="Z44" s="64"/>
      <c r="AA44" s="64"/>
      <c r="AB44" s="64"/>
      <c r="AC44" s="64"/>
      <c r="AD44" s="64"/>
      <c r="AE44" s="64"/>
      <c r="AF44" s="64"/>
    </row>
    <row r="45" spans="1:32">
      <c r="A45" s="90">
        <f t="shared" si="2"/>
        <v>2049</v>
      </c>
      <c r="B45" s="109">
        <f>Production!N57*B$6+B$7*Production!G57</f>
        <v>26.548150137151453</v>
      </c>
      <c r="C45" s="109">
        <f>($B$9*Development!$B$23+(Development!$B$15-Development!$B$23)*Operations!$B$10)*Production!N57</f>
        <v>108.65859622641504</v>
      </c>
      <c r="D45" s="109">
        <f>$B$11*Production!M57/1000</f>
        <v>0</v>
      </c>
      <c r="E45" s="109">
        <f>$B$8*Production!N57</f>
        <v>4.4245559999999999</v>
      </c>
      <c r="F45" s="109">
        <f>$B$3*IF(Input!$B$13="Gas",Production!G57,Production!K57)</f>
        <v>14.437078729257088</v>
      </c>
      <c r="G45" s="109">
        <f t="shared" si="0"/>
        <v>154.06838109282356</v>
      </c>
      <c r="H45" s="105"/>
      <c r="I45" s="109">
        <f>IF(OR('Devel Overrides'!Q$17=Lists!A$37,Production!S57=0),0,INDEX('Devel Overrides'!$Q$29:$Q$69,Production!S57+1,1)*Production!$T$21+INDEX('Devel Overrides'!$Q$29:$Q$69,Production!S57,1)*Production!$T$22)*'Devel Overrides'!$Q$19</f>
        <v>0</v>
      </c>
      <c r="J45" s="105"/>
      <c r="K45" s="109">
        <f>IF($B$12=1,I45,G45)*'Selected Economics'!J37*'Sensitivity Ranges'!$F$44</f>
        <v>332.26252526940027</v>
      </c>
      <c r="L45" s="145"/>
      <c r="M45" s="109">
        <f>K45*Abandonment!H42</f>
        <v>332.26252526940027</v>
      </c>
      <c r="N45" s="105"/>
      <c r="O45" s="105"/>
      <c r="P45" s="109">
        <f t="shared" ca="1" si="1"/>
        <v>332.26252526940027</v>
      </c>
      <c r="Q45" s="105"/>
      <c r="R45" s="105"/>
      <c r="S45" s="176">
        <f>IF(G45&gt;0,M45*(1+$S$16)*(G45-D45)/G45+M45*(1+Development!$BP$89)*D45/G45,0)</f>
        <v>365.48877779634034</v>
      </c>
      <c r="T45" s="64"/>
      <c r="U45" s="64"/>
      <c r="V45" s="64"/>
      <c r="W45" s="64"/>
      <c r="X45" s="64"/>
      <c r="Y45" s="64"/>
      <c r="Z45" s="64"/>
      <c r="AA45" s="64"/>
      <c r="AB45" s="64"/>
      <c r="AC45" s="64"/>
      <c r="AD45" s="64"/>
      <c r="AE45" s="64"/>
      <c r="AF45" s="64"/>
    </row>
    <row r="46" spans="1:32">
      <c r="A46" s="90">
        <f t="shared" si="2"/>
        <v>2050</v>
      </c>
      <c r="B46" s="109">
        <f>Production!N58*B$6+B$7*Production!G58</f>
        <v>25.038115345893829</v>
      </c>
      <c r="C46" s="109">
        <f>($B$9*Development!$B$23+(Development!$B$15-Development!$B$23)*Operations!$B$10)*Production!N58</f>
        <v>108.65859622641504</v>
      </c>
      <c r="D46" s="109">
        <f>$B$11*Production!M58/1000</f>
        <v>0</v>
      </c>
      <c r="E46" s="109">
        <f>$B$8*Production!N58</f>
        <v>4.4245559999999999</v>
      </c>
      <c r="F46" s="109">
        <f>$B$3*IF(Input!$B$13="Gas",Production!G58,Production!K58)</f>
        <v>12.271516919868562</v>
      </c>
      <c r="G46" s="109">
        <f t="shared" si="0"/>
        <v>150.39278449217741</v>
      </c>
      <c r="H46" s="105"/>
      <c r="I46" s="109">
        <f>IF(OR('Devel Overrides'!Q$17=Lists!A$37,Production!S58=0),0,INDEX('Devel Overrides'!$Q$29:$Q$69,Production!S58+1,1)*Production!$T$21+INDEX('Devel Overrides'!$Q$29:$Q$69,Production!S58,1)*Production!$T$22)*'Devel Overrides'!$Q$19</f>
        <v>0</v>
      </c>
      <c r="J46" s="105"/>
      <c r="K46" s="109">
        <f>IF($B$12=1,I46,G46)*'Selected Economics'!J38*'Sensitivity Ranges'!$F$44</f>
        <v>334.06583870955592</v>
      </c>
      <c r="L46" s="145"/>
      <c r="M46" s="109">
        <f>K46*Abandonment!H43</f>
        <v>334.06583870955592</v>
      </c>
      <c r="N46" s="105"/>
      <c r="O46" s="105"/>
      <c r="P46" s="109">
        <f t="shared" ca="1" si="1"/>
        <v>334.06583870955592</v>
      </c>
      <c r="Q46" s="105"/>
      <c r="R46" s="105"/>
      <c r="S46" s="176">
        <f>IF(G46&gt;0,M46*(1+$S$16)*(G46-D46)/G46+M46*(1+Development!$BP$89)*D46/G46,0)</f>
        <v>367.47242258051153</v>
      </c>
      <c r="T46" s="64"/>
      <c r="U46" s="64"/>
      <c r="V46" s="64"/>
      <c r="W46" s="64"/>
      <c r="X46" s="64"/>
      <c r="Y46" s="64"/>
      <c r="Z46" s="64"/>
      <c r="AA46" s="64"/>
      <c r="AB46" s="64"/>
      <c r="AC46" s="64"/>
      <c r="AD46" s="64"/>
      <c r="AE46" s="64"/>
      <c r="AF46" s="64"/>
    </row>
    <row r="47" spans="1:32">
      <c r="A47" s="90">
        <f t="shared" si="2"/>
        <v>2051</v>
      </c>
      <c r="B47" s="109">
        <f>Production!N59*B$6+B$7*Production!G59</f>
        <v>23.754585773324813</v>
      </c>
      <c r="C47" s="109">
        <f>($B$9*Development!$B$23+(Development!$B$15-Development!$B$23)*Operations!$B$10)*Production!N59</f>
        <v>108.65859622641504</v>
      </c>
      <c r="D47" s="109">
        <f>$B$11*Production!M59/1000</f>
        <v>0</v>
      </c>
      <c r="E47" s="109">
        <f>$B$8*Production!N59</f>
        <v>4.4245559999999999</v>
      </c>
      <c r="F47" s="109">
        <f>$B$3*IF(Input!$B$13="Gas",Production!G59,Production!K59)</f>
        <v>10.430789381888268</v>
      </c>
      <c r="G47" s="109">
        <f t="shared" si="0"/>
        <v>147.26852738162813</v>
      </c>
      <c r="H47" s="105"/>
      <c r="I47" s="109">
        <f>IF(OR('Devel Overrides'!Q$17=Lists!A$37,Production!S59=0),0,INDEX('Devel Overrides'!$Q$29:$Q$69,Production!S59+1,1)*Production!$T$21+INDEX('Devel Overrides'!$Q$29:$Q$69,Production!S59,1)*Production!$T$22)*'Devel Overrides'!$Q$19</f>
        <v>0</v>
      </c>
      <c r="J47" s="105"/>
      <c r="K47" s="109">
        <f>IF($B$12=1,I47,G47)*'Selected Economics'!J39*'Sensitivity Ranges'!$F$44</f>
        <v>336.93973956149796</v>
      </c>
      <c r="L47" s="145"/>
      <c r="M47" s="109">
        <f>K47*Abandonment!H44</f>
        <v>336.93973956149796</v>
      </c>
      <c r="N47" s="105"/>
      <c r="O47" s="105"/>
      <c r="P47" s="109">
        <f t="shared" ca="1" si="1"/>
        <v>336.93973956149796</v>
      </c>
      <c r="Q47" s="105"/>
      <c r="R47" s="105"/>
      <c r="S47" s="176">
        <f>IF(G47&gt;0,M47*(1+$S$16)*(G47-D47)/G47+M47*(1+Development!$BP$89)*D47/G47,0)</f>
        <v>370.63371351764778</v>
      </c>
      <c r="T47" s="64"/>
      <c r="U47" s="64"/>
      <c r="V47" s="64"/>
      <c r="W47" s="64"/>
      <c r="X47" s="64"/>
      <c r="Y47" s="64"/>
      <c r="Z47" s="64"/>
      <c r="AA47" s="64"/>
      <c r="AB47" s="64"/>
      <c r="AC47" s="64"/>
      <c r="AD47" s="64"/>
      <c r="AE47" s="64"/>
      <c r="AF47" s="64"/>
    </row>
    <row r="48" spans="1:32">
      <c r="A48" s="90">
        <f t="shared" si="2"/>
        <v>2052</v>
      </c>
      <c r="B48" s="109">
        <f>Production!N60*B$6+B$7*Production!G60</f>
        <v>22.679180965746845</v>
      </c>
      <c r="C48" s="109">
        <f>($B$9*Development!$B$23+(Development!$B$15-Development!$B$23)*Operations!$B$10)*Production!N60</f>
        <v>108.65859622641504</v>
      </c>
      <c r="D48" s="109">
        <f>$B$11*Production!M60/1000</f>
        <v>0</v>
      </c>
      <c r="E48" s="109">
        <f>$B$8*Production!N60</f>
        <v>4.4245559999999999</v>
      </c>
      <c r="F48" s="109">
        <f>$B$3*IF(Input!$B$13="Gas",Production!G60,Production!K60)</f>
        <v>8.8642508333623162</v>
      </c>
      <c r="G48" s="109">
        <f t="shared" si="0"/>
        <v>144.62658402552421</v>
      </c>
      <c r="H48" s="105"/>
      <c r="I48" s="109">
        <f>IF(OR('Devel Overrides'!Q$17=Lists!A$37,Production!S60=0),0,INDEX('Devel Overrides'!$Q$29:$Q$69,Production!S60+1,1)*Production!$T$21+INDEX('Devel Overrides'!$Q$29:$Q$69,Production!S60,1)*Production!$T$22)*'Devel Overrides'!$Q$19</f>
        <v>0</v>
      </c>
      <c r="J48" s="105"/>
      <c r="K48" s="109">
        <f>IF($B$12=1,I48,G48)*'Selected Economics'!J40*'Sensitivity Ranges'!$F$44</f>
        <v>340.82201916651775</v>
      </c>
      <c r="L48" s="145"/>
      <c r="M48" s="109">
        <f>K48*Abandonment!H45</f>
        <v>340.82201916651775</v>
      </c>
      <c r="N48" s="105"/>
      <c r="O48" s="105"/>
      <c r="P48" s="109">
        <f t="shared" ca="1" si="1"/>
        <v>340.82201916651775</v>
      </c>
      <c r="Q48" s="105"/>
      <c r="R48" s="105"/>
      <c r="S48" s="176">
        <f>IF(G48&gt;0,M48*(1+$S$16)*(G48-D48)/G48+M48*(1+Development!$BP$89)*D48/G48,0)</f>
        <v>374.90422108316955</v>
      </c>
      <c r="T48" s="64"/>
      <c r="U48" s="64"/>
      <c r="V48" s="64"/>
      <c r="W48" s="64"/>
      <c r="X48" s="64"/>
      <c r="Y48" s="64"/>
      <c r="Z48" s="64"/>
      <c r="AA48" s="64"/>
      <c r="AB48" s="64"/>
      <c r="AC48" s="64"/>
      <c r="AD48" s="64"/>
      <c r="AE48" s="64"/>
      <c r="AF48" s="64"/>
    </row>
    <row r="49" spans="1:32">
      <c r="A49" s="90">
        <f t="shared" si="2"/>
        <v>2053</v>
      </c>
      <c r="B49" s="109">
        <f>Production!N61*B$6+B$7*Production!G61</f>
        <v>21.733896221094202</v>
      </c>
      <c r="C49" s="109">
        <f>($B$9*Development!$B$23+(Development!$B$15-Development!$B$23)*Operations!$B$10)*Production!N61</f>
        <v>108.65859622641504</v>
      </c>
      <c r="D49" s="109">
        <f>$B$11*Production!M61/1000</f>
        <v>0</v>
      </c>
      <c r="E49" s="109">
        <f>$B$8*Production!N61</f>
        <v>4.4245559999999999</v>
      </c>
      <c r="F49" s="109">
        <f>$B$3*IF(Input!$B$13="Gas",Production!G61,Production!K61)</f>
        <v>7.5328905067924534</v>
      </c>
      <c r="G49" s="109">
        <f t="shared" si="0"/>
        <v>142.34993895430171</v>
      </c>
      <c r="H49" s="105"/>
      <c r="I49" s="109">
        <f>IF(OR('Devel Overrides'!Q$17=Lists!A$37,Production!S61=0),0,INDEX('Devel Overrides'!$Q$29:$Q$69,Production!S61+1,1)*Production!$T$21+INDEX('Devel Overrides'!$Q$29:$Q$69,Production!S61,1)*Production!$T$22)*'Devel Overrides'!$Q$19</f>
        <v>0</v>
      </c>
      <c r="J49" s="105"/>
      <c r="K49" s="109">
        <f>IF($B$12=1,I49,G49)*'Selected Economics'!J41*'Sensitivity Ranges'!$F$44</f>
        <v>345.52066459991596</v>
      </c>
      <c r="L49" s="145"/>
      <c r="M49" s="109">
        <f>K49*Abandonment!H46</f>
        <v>345.52066459991596</v>
      </c>
      <c r="N49" s="105"/>
      <c r="O49" s="105"/>
      <c r="P49" s="109">
        <f t="shared" ca="1" si="1"/>
        <v>345.52066459991596</v>
      </c>
      <c r="Q49" s="105"/>
      <c r="R49" s="105"/>
      <c r="S49" s="176">
        <f>IF(G49&gt;0,M49*(1+$S$16)*(G49-D49)/G49+M49*(1+Development!$BP$89)*D49/G49,0)</f>
        <v>380.0727310599076</v>
      </c>
      <c r="T49" s="64"/>
      <c r="U49" s="64"/>
      <c r="V49" s="64"/>
      <c r="W49" s="64"/>
      <c r="X49" s="64"/>
      <c r="Y49" s="64"/>
      <c r="Z49" s="64"/>
      <c r="AA49" s="64"/>
      <c r="AB49" s="64"/>
      <c r="AC49" s="64"/>
      <c r="AD49" s="64"/>
      <c r="AE49" s="64"/>
      <c r="AF49" s="64"/>
    </row>
    <row r="50" spans="1:32">
      <c r="A50" s="90">
        <f t="shared" si="2"/>
        <v>2054</v>
      </c>
      <c r="B50" s="109">
        <f>Production!N62*B$6+B$7*Production!G62</f>
        <v>20.945999517245124</v>
      </c>
      <c r="C50" s="109">
        <f>($B$9*Development!$B$23+(Development!$B$15-Development!$B$23)*Operations!$B$10)*Production!N62</f>
        <v>108.65859622641504</v>
      </c>
      <c r="D50" s="109">
        <f>$B$11*Production!M62/1000</f>
        <v>0</v>
      </c>
      <c r="E50" s="109">
        <f>$B$8*Production!N62</f>
        <v>4.4245559999999999</v>
      </c>
      <c r="F50" s="109">
        <f>$B$3*IF(Input!$B$13="Gas",Production!G62,Production!K62)</f>
        <v>6.402956930773561</v>
      </c>
      <c r="G50" s="109">
        <f t="shared" si="0"/>
        <v>140.43210867443372</v>
      </c>
      <c r="H50" s="105"/>
      <c r="I50" s="109">
        <f>IF(OR('Devel Overrides'!Q$17=Lists!A$37,Production!S62=0),0,INDEX('Devel Overrides'!$Q$29:$Q$69,Production!S62+1,1)*Production!$T$21+INDEX('Devel Overrides'!$Q$29:$Q$69,Production!S62,1)*Production!$T$22)*'Devel Overrides'!$Q$19</f>
        <v>0</v>
      </c>
      <c r="J50" s="105"/>
      <c r="K50" s="109">
        <f>IF($B$12=1,I50,G50)*'Selected Economics'!J42*'Sensitivity Ranges'!$F$44</f>
        <v>351.09155474954565</v>
      </c>
      <c r="L50" s="145"/>
      <c r="M50" s="109">
        <f>K50*Abandonment!H47</f>
        <v>351.09155474954565</v>
      </c>
      <c r="N50" s="105"/>
      <c r="O50" s="105"/>
      <c r="P50" s="109">
        <f t="shared" ca="1" si="1"/>
        <v>351.09155474954565</v>
      </c>
      <c r="Q50" s="105"/>
      <c r="R50" s="105"/>
      <c r="S50" s="176">
        <f>IF(G50&gt;0,M50*(1+$S$16)*(G50-D50)/G50+M50*(1+Development!$BP$89)*D50/G50,0)</f>
        <v>386.20071022450026</v>
      </c>
      <c r="T50" s="64"/>
      <c r="U50" s="64"/>
      <c r="V50" s="64"/>
      <c r="W50" s="64"/>
      <c r="X50" s="64"/>
      <c r="Y50" s="64"/>
      <c r="Z50" s="64"/>
      <c r="AA50" s="64"/>
      <c r="AB50" s="64"/>
      <c r="AC50" s="64"/>
      <c r="AD50" s="64"/>
      <c r="AE50" s="64"/>
      <c r="AF50" s="64"/>
    </row>
    <row r="51" spans="1:32">
      <c r="A51" s="90">
        <f t="shared" si="2"/>
        <v>2055</v>
      </c>
      <c r="B51" s="109">
        <f>Production!N63*B$6+B$7*Production!G63</f>
        <v>20.276287318973438</v>
      </c>
      <c r="C51" s="109">
        <f>($B$9*Development!$B$23+(Development!$B$15-Development!$B$23)*Operations!$B$10)*Production!N63</f>
        <v>108.65859622641504</v>
      </c>
      <c r="D51" s="109">
        <f>$B$11*Production!M63/1000</f>
        <v>0</v>
      </c>
      <c r="E51" s="109">
        <f>$B$8*Production!N63</f>
        <v>4.4245559999999999</v>
      </c>
      <c r="F51" s="109">
        <f>$B$3*IF(Input!$B$13="Gas",Production!G63,Production!K63)</f>
        <v>5.4425133911575472</v>
      </c>
      <c r="G51" s="109">
        <f t="shared" si="0"/>
        <v>138.80195293654603</v>
      </c>
      <c r="H51" s="105"/>
      <c r="I51" s="109">
        <f>IF(OR('Devel Overrides'!Q$17=Lists!A$37,Production!S63=0),0,INDEX('Devel Overrides'!$Q$29:$Q$69,Production!S63+1,1)*Production!$T$21+INDEX('Devel Overrides'!$Q$29:$Q$69,Production!S63,1)*Production!$T$22)*'Devel Overrides'!$Q$19</f>
        <v>0</v>
      </c>
      <c r="J51" s="105"/>
      <c r="K51" s="109">
        <f>IF($B$12=1,I51,G51)*'Selected Economics'!J43*'Sensitivity Ranges'!$F$44</f>
        <v>357.42651546231633</v>
      </c>
      <c r="L51" s="145"/>
      <c r="M51" s="109">
        <f>K51*Abandonment!H48</f>
        <v>0</v>
      </c>
      <c r="N51" s="105"/>
      <c r="O51" s="105"/>
      <c r="P51" s="109">
        <f t="shared" ca="1" si="1"/>
        <v>0</v>
      </c>
      <c r="Q51" s="105"/>
      <c r="R51" s="105"/>
      <c r="S51" s="176">
        <f>IF(G51&gt;0,M51*(1+$S$16)*(G51-D51)/G51+M51*(1+Development!$BP$89)*D51/G51,0)</f>
        <v>0</v>
      </c>
      <c r="T51" s="64"/>
      <c r="U51" s="64"/>
      <c r="V51" s="64"/>
      <c r="W51" s="64"/>
      <c r="X51" s="64"/>
      <c r="Y51" s="64"/>
      <c r="Z51" s="64"/>
      <c r="AA51" s="64"/>
      <c r="AB51" s="64"/>
      <c r="AC51" s="64"/>
      <c r="AD51" s="64"/>
      <c r="AE51" s="64"/>
      <c r="AF51" s="64"/>
    </row>
    <row r="52" spans="1:32">
      <c r="A52" s="90">
        <f t="shared" si="2"/>
        <v>2056</v>
      </c>
      <c r="B52" s="109">
        <f>Production!N64*B$6+B$7*Production!G64</f>
        <v>19.71516918573597</v>
      </c>
      <c r="C52" s="109">
        <f>($B$9*Development!$B$23+(Development!$B$15-Development!$B$23)*Operations!$B$10)*Production!N64</f>
        <v>108.65859622641504</v>
      </c>
      <c r="D52" s="109">
        <f>$B$11*Production!M64/1000</f>
        <v>0</v>
      </c>
      <c r="E52" s="109">
        <f>$B$8*Production!N64</f>
        <v>4.4245559999999999</v>
      </c>
      <c r="F52" s="109">
        <f>$B$3*IF(Input!$B$13="Gas",Production!G64,Production!K64)</f>
        <v>4.625134502947879</v>
      </c>
      <c r="G52" s="109">
        <f t="shared" si="0"/>
        <v>137.42345591509888</v>
      </c>
      <c r="H52" s="105"/>
      <c r="I52" s="109">
        <f>IF(OR('Devel Overrides'!Q$17=Lists!A$37,Production!S64=0),0,INDEX('Devel Overrides'!$Q$29:$Q$69,Production!S64+1,1)*Production!$T$21+INDEX('Devel Overrides'!$Q$29:$Q$69,Production!S64,1)*Production!$T$22)*'Devel Overrides'!$Q$19</f>
        <v>0</v>
      </c>
      <c r="J52" s="105"/>
      <c r="K52" s="109">
        <f>IF($B$12=1,I52,G52)*'Selected Economics'!J44*'Sensitivity Ranges'!$F$44</f>
        <v>364.49307470023325</v>
      </c>
      <c r="L52" s="145"/>
      <c r="M52" s="109">
        <f>K52*Abandonment!H49</f>
        <v>0</v>
      </c>
      <c r="N52" s="105"/>
      <c r="O52" s="105"/>
      <c r="P52" s="109">
        <f t="shared" ca="1" si="1"/>
        <v>0</v>
      </c>
      <c r="Q52" s="105"/>
      <c r="R52" s="105"/>
      <c r="S52" s="176">
        <f>IF(G52&gt;0,M52*(1+$S$16)*(G52-D52)/G52+M52*(1+Development!$BP$89)*D52/G52,0)</f>
        <v>0</v>
      </c>
      <c r="T52" s="64"/>
      <c r="U52" s="64"/>
      <c r="V52" s="64"/>
      <c r="W52" s="64"/>
      <c r="X52" s="64"/>
      <c r="Y52" s="64"/>
      <c r="Z52" s="64"/>
      <c r="AA52" s="64"/>
      <c r="AB52" s="64"/>
      <c r="AC52" s="64"/>
      <c r="AD52" s="64"/>
      <c r="AE52" s="64"/>
      <c r="AF52" s="64"/>
    </row>
    <row r="53" spans="1:32">
      <c r="A53" s="90">
        <f t="shared" si="2"/>
        <v>2057</v>
      </c>
      <c r="B53" s="109">
        <f>Production!N65*B$6+B$7*Production!G65</f>
        <v>19.22194430189716</v>
      </c>
      <c r="C53" s="109">
        <f>($B$9*Development!$B$23+(Development!$B$15-Development!$B$23)*Operations!$B$10)*Production!N65</f>
        <v>108.65859622641504</v>
      </c>
      <c r="D53" s="109">
        <f>$B$11*Production!M65/1000</f>
        <v>0</v>
      </c>
      <c r="E53" s="109">
        <f>$B$8*Production!N65</f>
        <v>4.4245559999999999</v>
      </c>
      <c r="F53" s="109">
        <f>$B$3*IF(Input!$B$13="Gas",Production!G65,Production!K65)</f>
        <v>3.9304654668350389</v>
      </c>
      <c r="G53" s="109">
        <f t="shared" si="0"/>
        <v>136.23556199514724</v>
      </c>
      <c r="H53" s="105"/>
      <c r="I53" s="109">
        <f>IF(OR('Devel Overrides'!Q$17=Lists!A$37,Production!S65=0),0,INDEX('Devel Overrides'!$Q$29:$Q$69,Production!S65+1,1)*Production!$T$21+INDEX('Devel Overrides'!$Q$29:$Q$69,Production!S65,1)*Production!$T$22)*'Devel Overrides'!$Q$19</f>
        <v>0</v>
      </c>
      <c r="J53" s="105"/>
      <c r="K53" s="109">
        <f>IF($B$12=1,I53,G53)*'Selected Economics'!J45*'Sensitivity Ranges'!$F$44</f>
        <v>372.18265325082456</v>
      </c>
      <c r="L53" s="145"/>
      <c r="M53" s="109">
        <f>K53*Abandonment!H50</f>
        <v>0</v>
      </c>
      <c r="N53" s="105"/>
      <c r="O53" s="105"/>
      <c r="P53" s="109">
        <f t="shared" ca="1" si="1"/>
        <v>0</v>
      </c>
      <c r="Q53" s="105"/>
      <c r="R53" s="105"/>
      <c r="S53" s="176">
        <f>IF(G53&gt;0,M53*(1+$S$16)*(G53-D53)/G53+M53*(1+Development!$BP$89)*D53/G53,0)</f>
        <v>0</v>
      </c>
      <c r="T53" s="64"/>
      <c r="U53" s="64"/>
      <c r="V53" s="64"/>
      <c r="W53" s="64"/>
      <c r="X53" s="64"/>
      <c r="Y53" s="64"/>
      <c r="Z53" s="64"/>
      <c r="AA53" s="64"/>
      <c r="AB53" s="64"/>
      <c r="AC53" s="64"/>
      <c r="AD53" s="64"/>
      <c r="AE53" s="64"/>
      <c r="AF53" s="64"/>
    </row>
    <row r="54" spans="1:32">
      <c r="A54" s="90">
        <f t="shared" si="2"/>
        <v>2058</v>
      </c>
      <c r="B54" s="109">
        <f>Production!N66*B$6+B$7*Production!G66</f>
        <v>2.339761377102386</v>
      </c>
      <c r="C54" s="109">
        <f>($B$9*Development!$B$23+(Development!$B$15-Development!$B$23)*Operations!$B$10)*Production!N66</f>
        <v>13.394792458141378</v>
      </c>
      <c r="D54" s="109">
        <f>$B$11*Production!M66/1000</f>
        <v>0</v>
      </c>
      <c r="E54" s="109">
        <f>$B$8*Production!N66</f>
        <v>0.54543323213866945</v>
      </c>
      <c r="F54" s="109">
        <f>$B$3*IF(Input!$B$13="Gas",Production!G66,Production!K66)</f>
        <v>3.5837066938126805</v>
      </c>
      <c r="G54" s="109">
        <f t="shared" si="0"/>
        <v>19.863693761195112</v>
      </c>
      <c r="H54" s="105"/>
      <c r="I54" s="109">
        <f>IF(OR('Devel Overrides'!Q$17=Lists!A$37,Production!S66=0),0,INDEX('Devel Overrides'!$Q$29:$Q$69,Production!S66+1,1)*Production!$T$21+INDEX('Devel Overrides'!$Q$29:$Q$69,Production!S66,1)*Production!$T$22)*'Devel Overrides'!$Q$19</f>
        <v>0</v>
      </c>
      <c r="J54" s="105"/>
      <c r="K54" s="109">
        <f>IF($B$12=1,I54,G54)*'Selected Economics'!J46*'Sensitivity Ranges'!$F$44</f>
        <v>55.893702079760857</v>
      </c>
      <c r="L54" s="145"/>
      <c r="M54" s="109">
        <f>K54*Abandonment!H51</f>
        <v>0</v>
      </c>
      <c r="N54" s="105"/>
      <c r="O54" s="105"/>
      <c r="P54" s="109">
        <f t="shared" ca="1" si="1"/>
        <v>0</v>
      </c>
      <c r="Q54" s="105"/>
      <c r="R54" s="105"/>
      <c r="S54" s="176">
        <f>IF(G54&gt;0,M54*(1+$S$16)*(G54-D54)/G54+M54*(1+Development!$BP$89)*D54/G54,0)</f>
        <v>0</v>
      </c>
      <c r="T54" s="64"/>
      <c r="U54" s="64"/>
      <c r="V54" s="64"/>
      <c r="W54" s="64"/>
      <c r="X54" s="64"/>
      <c r="Y54" s="64"/>
      <c r="Z54" s="64"/>
      <c r="AA54" s="64"/>
      <c r="AB54" s="64"/>
      <c r="AC54" s="64"/>
      <c r="AD54" s="64"/>
      <c r="AE54" s="64"/>
      <c r="AF54" s="64"/>
    </row>
    <row r="55" spans="1:32">
      <c r="A55" s="90">
        <f t="shared" si="2"/>
        <v>2059</v>
      </c>
      <c r="B55" s="109">
        <f>Production!N67*B$6+B$7*Production!G67</f>
        <v>0</v>
      </c>
      <c r="C55" s="109">
        <f>($B$9*Development!$B$23+(Development!$B$15-Development!$B$23)*Operations!$B$10)*Production!N67</f>
        <v>0</v>
      </c>
      <c r="D55" s="109">
        <f>$B$11*Production!M67/1000</f>
        <v>0</v>
      </c>
      <c r="E55" s="109">
        <f>$B$8*Production!N67</f>
        <v>0</v>
      </c>
      <c r="F55" s="109">
        <f>$B$3*IF(Input!$B$13="Gas",Production!G67,Production!K67)</f>
        <v>0</v>
      </c>
      <c r="G55" s="109">
        <f t="shared" si="0"/>
        <v>0</v>
      </c>
      <c r="H55" s="105"/>
      <c r="I55" s="109">
        <f>IF(OR('Devel Overrides'!Q$17=Lists!A$37,Production!S67=0),0,INDEX('Devel Overrides'!$Q$29:$Q$69,Production!S67+1,1)*Production!$T$21+INDEX('Devel Overrides'!$Q$29:$Q$69,Production!S67,1)*Production!$T$22)*'Devel Overrides'!$Q$19</f>
        <v>0</v>
      </c>
      <c r="J55" s="105"/>
      <c r="K55" s="109">
        <f>IF($B$12=1,I55,G55)*'Selected Economics'!J47*'Sensitivity Ranges'!$F$44</f>
        <v>0</v>
      </c>
      <c r="L55" s="145"/>
      <c r="M55" s="109">
        <f>K55*Abandonment!H52</f>
        <v>0</v>
      </c>
      <c r="N55" s="105"/>
      <c r="O55" s="105"/>
      <c r="P55" s="109">
        <f t="shared" ca="1" si="1"/>
        <v>0</v>
      </c>
      <c r="Q55" s="105"/>
      <c r="R55" s="105"/>
      <c r="S55" s="176">
        <f>IF(G55&gt;0,M55*(1+$S$16)*(G55-D55)/G55+M55*(1+Development!$BP$89)*D55/G55,0)</f>
        <v>0</v>
      </c>
      <c r="T55" s="64"/>
      <c r="U55" s="64"/>
      <c r="V55" s="64"/>
      <c r="W55" s="64"/>
      <c r="X55" s="64"/>
      <c r="Y55" s="64"/>
      <c r="Z55" s="64"/>
      <c r="AA55" s="64"/>
      <c r="AB55" s="64"/>
      <c r="AC55" s="64"/>
      <c r="AD55" s="64"/>
      <c r="AE55" s="64"/>
      <c r="AF55" s="64"/>
    </row>
    <row r="56" spans="1:32">
      <c r="A56" s="90">
        <f t="shared" si="2"/>
        <v>2060</v>
      </c>
      <c r="B56" s="109">
        <f>Production!N68*B$6+B$7*Production!G68</f>
        <v>0</v>
      </c>
      <c r="C56" s="109">
        <f>($B$9*Development!$B$23+(Development!$B$15-Development!$B$23)*Operations!$B$10)*Production!N68</f>
        <v>0</v>
      </c>
      <c r="D56" s="109">
        <f>$B$11*Production!M68/1000</f>
        <v>0</v>
      </c>
      <c r="E56" s="109">
        <f>$B$8*Production!N68</f>
        <v>0</v>
      </c>
      <c r="F56" s="109">
        <f>$B$3*IF(Input!$B$13="Gas",Production!G68,Production!K68)</f>
        <v>0</v>
      </c>
      <c r="G56" s="109">
        <f t="shared" si="0"/>
        <v>0</v>
      </c>
      <c r="H56" s="105"/>
      <c r="I56" s="109">
        <f>IF(OR('Devel Overrides'!Q$17=Lists!A$37,Production!S68=0),0,INDEX('Devel Overrides'!$Q$29:$Q$69,Production!S68+1,1)*Production!$T$21+INDEX('Devel Overrides'!$Q$29:$Q$69,Production!S68,1)*Production!$T$22)*'Devel Overrides'!$Q$19</f>
        <v>0</v>
      </c>
      <c r="J56" s="105"/>
      <c r="K56" s="109">
        <f>IF($B$12=1,I56,G56)*'Selected Economics'!J48*'Sensitivity Ranges'!$F$44</f>
        <v>0</v>
      </c>
      <c r="L56" s="145"/>
      <c r="M56" s="109">
        <f>K56*Abandonment!H53</f>
        <v>0</v>
      </c>
      <c r="N56" s="105"/>
      <c r="O56" s="105"/>
      <c r="P56" s="109">
        <f t="shared" ca="1" si="1"/>
        <v>0</v>
      </c>
      <c r="Q56" s="105"/>
      <c r="R56" s="105"/>
      <c r="S56" s="176">
        <f>IF(G56&gt;0,M56*(1+$S$16)*(G56-D56)/G56+M56*(1+Development!$BP$89)*D56/G56,0)</f>
        <v>0</v>
      </c>
      <c r="T56" s="64"/>
      <c r="U56" s="64"/>
      <c r="V56" s="64"/>
      <c r="W56" s="64"/>
      <c r="X56" s="64"/>
      <c r="Y56" s="64"/>
      <c r="Z56" s="64"/>
      <c r="AA56" s="64"/>
      <c r="AB56" s="64"/>
      <c r="AC56" s="64"/>
      <c r="AD56" s="64"/>
      <c r="AE56" s="64"/>
      <c r="AF56" s="64"/>
    </row>
    <row r="57" spans="1:32">
      <c r="A57" s="90">
        <f t="shared" si="2"/>
        <v>2061</v>
      </c>
      <c r="B57" s="109">
        <f>Production!N69*B$6+B$7*Production!G69</f>
        <v>0</v>
      </c>
      <c r="C57" s="109">
        <f>($B$9*Development!$B$23+(Development!$B$15-Development!$B$23)*Operations!$B$10)*Production!N69</f>
        <v>0</v>
      </c>
      <c r="D57" s="109">
        <f>$B$11*Production!M69/1000</f>
        <v>0</v>
      </c>
      <c r="E57" s="109">
        <f>$B$8*Production!N69</f>
        <v>0</v>
      </c>
      <c r="F57" s="109">
        <f>$B$3*IF(Input!$B$13="Gas",Production!G69,Production!K69)</f>
        <v>0</v>
      </c>
      <c r="G57" s="109">
        <f t="shared" si="0"/>
        <v>0</v>
      </c>
      <c r="H57" s="105"/>
      <c r="I57" s="109">
        <f>IF(OR('Devel Overrides'!Q$17=Lists!A$37,Production!S69=0),0,INDEX('Devel Overrides'!$Q$29:$Q$69,Production!S69+1,1)*Production!$T$21+INDEX('Devel Overrides'!$Q$29:$Q$69,Production!S69,1)*Production!$T$22)*'Devel Overrides'!$Q$19</f>
        <v>0</v>
      </c>
      <c r="J57" s="105"/>
      <c r="K57" s="109">
        <f>IF($B$12=1,I57,G57)*'Selected Economics'!J49*'Sensitivity Ranges'!$F$44</f>
        <v>0</v>
      </c>
      <c r="L57" s="145"/>
      <c r="M57" s="109">
        <f>K57*Abandonment!H54</f>
        <v>0</v>
      </c>
      <c r="N57" s="105"/>
      <c r="O57" s="105"/>
      <c r="P57" s="109">
        <f t="shared" ca="1" si="1"/>
        <v>0</v>
      </c>
      <c r="Q57" s="105"/>
      <c r="R57" s="105"/>
      <c r="S57" s="176">
        <f>IF(G57&gt;0,M57*(1+$S$16)*(G57-D57)/G57+M57*(1+Development!$BP$89)*D57/G57,0)</f>
        <v>0</v>
      </c>
      <c r="T57" s="64"/>
      <c r="U57" s="64"/>
      <c r="V57" s="64"/>
      <c r="W57" s="64"/>
      <c r="X57" s="64"/>
      <c r="Y57" s="64"/>
      <c r="Z57" s="64"/>
      <c r="AA57" s="64"/>
      <c r="AB57" s="64"/>
      <c r="AC57" s="64"/>
      <c r="AD57" s="64"/>
      <c r="AE57" s="64"/>
      <c r="AF57" s="64"/>
    </row>
    <row r="58" spans="1:32">
      <c r="A58" s="97">
        <f t="shared" si="2"/>
        <v>2062</v>
      </c>
      <c r="B58" s="111">
        <f>Production!N70*B$6+B$7*Production!G70</f>
        <v>0</v>
      </c>
      <c r="C58" s="111">
        <f>($B$9*Development!$B$23+(Development!$B$15-Development!$B$23)*Operations!$B$10)*Production!N70</f>
        <v>0</v>
      </c>
      <c r="D58" s="111">
        <f>$B$11*Production!M70/1000</f>
        <v>0</v>
      </c>
      <c r="E58" s="111">
        <f>$B$8*Production!N70</f>
        <v>0</v>
      </c>
      <c r="F58" s="111">
        <f>$B$3*IF(Input!$B$13="Gas",Production!G70,Production!K70)</f>
        <v>0</v>
      </c>
      <c r="G58" s="111">
        <f t="shared" si="0"/>
        <v>0</v>
      </c>
      <c r="H58" s="105"/>
      <c r="I58" s="111">
        <f>IF(OR('Devel Overrides'!Q$17=Lists!A$37,Production!S70=0),0,INDEX('Devel Overrides'!$Q$29:$Q$69,Production!S70+1,1)*Production!$T$21+INDEX('Devel Overrides'!$Q$29:$Q$69,Production!S70,1)*Production!$T$22)*'Devel Overrides'!$Q$19</f>
        <v>0</v>
      </c>
      <c r="J58" s="105"/>
      <c r="K58" s="111">
        <f>IF($B$12=1,I58,G58)*'Selected Economics'!J50*'Sensitivity Ranges'!$F$44</f>
        <v>0</v>
      </c>
      <c r="L58" s="145"/>
      <c r="M58" s="111">
        <f>K58*Abandonment!H55</f>
        <v>0</v>
      </c>
      <c r="N58" s="105"/>
      <c r="O58" s="105"/>
      <c r="P58" s="111">
        <f t="shared" ca="1" si="1"/>
        <v>0</v>
      </c>
      <c r="Q58" s="105"/>
      <c r="R58" s="105"/>
      <c r="S58" s="177">
        <f>IF(G58&gt;0,M58*(1+$S$16)*(G58-D58)/G58+M58*(1+Development!$BP$89)*D58/G58,0)</f>
        <v>0</v>
      </c>
      <c r="T58" s="64"/>
      <c r="U58" s="64"/>
      <c r="V58" s="64"/>
      <c r="W58" s="64"/>
      <c r="X58" s="64"/>
      <c r="Y58" s="64"/>
      <c r="Z58" s="64"/>
      <c r="AA58" s="64"/>
      <c r="AB58" s="64"/>
      <c r="AC58" s="64"/>
      <c r="AD58" s="64"/>
      <c r="AE58" s="64"/>
      <c r="AF58" s="64"/>
    </row>
    <row r="59" spans="1:32">
      <c r="A59" s="64"/>
      <c r="B59" s="64"/>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row>
    <row r="60" spans="1:32">
      <c r="A60" s="64"/>
      <c r="B60" s="64"/>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row>
    <row r="61" spans="1:32">
      <c r="A61" s="64"/>
      <c r="B61" s="64"/>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row>
    <row r="62" spans="1:32">
      <c r="A62" s="64"/>
      <c r="B62" s="64"/>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row>
    <row r="63" spans="1:32">
      <c r="A63" s="64"/>
      <c r="B63" s="64"/>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row>
    <row r="64" spans="1:32">
      <c r="A64" s="64"/>
      <c r="B64" s="64"/>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row>
    <row r="65" spans="1:32">
      <c r="A65" s="64"/>
      <c r="B65" s="64"/>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row>
    <row r="66" spans="1:32">
      <c r="A66" s="64"/>
      <c r="B66" s="64"/>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row>
    <row r="67" spans="1:32">
      <c r="A67" s="64"/>
      <c r="B67" s="64"/>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row>
    <row r="68" spans="1:32">
      <c r="A68" s="64"/>
      <c r="B68" s="64"/>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row>
    <row r="69" spans="1:32">
      <c r="A69" s="64"/>
      <c r="B69" s="64"/>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row>
    <row r="70" spans="1:32">
      <c r="A70" s="64"/>
      <c r="B70" s="64"/>
      <c r="C70" s="64"/>
      <c r="D70" s="64"/>
      <c r="E70" s="64"/>
      <c r="F70" s="64"/>
      <c r="G70" s="64"/>
      <c r="H70" s="64"/>
      <c r="I70" s="64"/>
      <c r="J70" s="64"/>
      <c r="K70" s="64"/>
      <c r="L70" s="64"/>
      <c r="M70" s="64"/>
      <c r="N70" s="64"/>
      <c r="O70" s="64"/>
      <c r="P70" s="64"/>
      <c r="Q70" s="64"/>
      <c r="R70" s="64"/>
      <c r="S70" s="64"/>
      <c r="T70" s="64"/>
      <c r="U70" s="64"/>
      <c r="V70" s="64"/>
      <c r="W70" s="64"/>
      <c r="X70" s="64"/>
      <c r="Y70" s="64"/>
      <c r="Z70" s="64"/>
      <c r="AA70" s="64"/>
      <c r="AB70" s="64"/>
      <c r="AC70" s="64"/>
      <c r="AD70" s="64"/>
      <c r="AE70" s="64"/>
      <c r="AF70" s="64"/>
    </row>
    <row r="71" spans="1:32">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row>
    <row r="72" spans="1:32">
      <c r="A72" s="64"/>
      <c r="B72" s="64"/>
      <c r="C72" s="64"/>
      <c r="D72" s="64"/>
      <c r="E72" s="64"/>
      <c r="F72" s="64"/>
      <c r="G72" s="64"/>
      <c r="H72" s="64"/>
      <c r="I72" s="64"/>
      <c r="J72" s="64"/>
      <c r="K72" s="64"/>
      <c r="L72" s="64"/>
      <c r="M72" s="64"/>
      <c r="N72" s="64"/>
      <c r="O72" s="64"/>
      <c r="P72" s="64"/>
      <c r="Q72" s="64"/>
      <c r="R72" s="64"/>
      <c r="S72" s="64"/>
      <c r="T72" s="64"/>
      <c r="U72" s="64"/>
      <c r="V72" s="64"/>
      <c r="W72" s="64"/>
      <c r="X72" s="64"/>
      <c r="Y72" s="64"/>
      <c r="Z72" s="64"/>
      <c r="AA72" s="64"/>
      <c r="AB72" s="64"/>
      <c r="AC72" s="64"/>
      <c r="AD72" s="64"/>
      <c r="AE72" s="64"/>
      <c r="AF72" s="64"/>
    </row>
    <row r="73" spans="1:32">
      <c r="A73" s="64"/>
      <c r="B73" s="64"/>
      <c r="C73" s="64"/>
      <c r="D73" s="64"/>
      <c r="E73" s="64"/>
      <c r="F73" s="64"/>
      <c r="G73" s="64"/>
      <c r="H73" s="64"/>
      <c r="I73" s="64"/>
      <c r="J73" s="64"/>
      <c r="K73" s="64"/>
      <c r="L73" s="64"/>
      <c r="M73" s="64"/>
      <c r="N73" s="64"/>
      <c r="O73" s="64"/>
      <c r="P73" s="64"/>
      <c r="Q73" s="64"/>
      <c r="R73" s="64"/>
      <c r="S73" s="64"/>
      <c r="T73" s="64"/>
      <c r="U73" s="64"/>
      <c r="V73" s="64"/>
      <c r="W73" s="64"/>
      <c r="X73" s="64"/>
      <c r="Y73" s="64"/>
      <c r="Z73" s="64"/>
      <c r="AA73" s="64"/>
      <c r="AB73" s="64"/>
      <c r="AC73" s="64"/>
      <c r="AD73" s="64"/>
      <c r="AE73" s="64"/>
      <c r="AF73" s="64"/>
    </row>
    <row r="74" spans="1:32">
      <c r="A74" s="64"/>
      <c r="B74" s="64"/>
      <c r="C74" s="64"/>
      <c r="D74" s="64"/>
      <c r="E74" s="64"/>
      <c r="F74" s="64"/>
      <c r="G74" s="64"/>
      <c r="H74" s="64"/>
      <c r="I74" s="64"/>
      <c r="J74" s="64"/>
      <c r="K74" s="64"/>
      <c r="L74" s="64"/>
      <c r="M74" s="64"/>
      <c r="N74" s="64"/>
      <c r="O74" s="64"/>
      <c r="P74" s="64"/>
      <c r="Q74" s="64"/>
      <c r="R74" s="64"/>
      <c r="S74" s="64"/>
      <c r="T74" s="64"/>
      <c r="U74" s="64"/>
      <c r="V74" s="64"/>
      <c r="W74" s="64"/>
      <c r="X74" s="64"/>
      <c r="Y74" s="64"/>
      <c r="Z74" s="64"/>
      <c r="AA74" s="64"/>
      <c r="AB74" s="64"/>
      <c r="AC74" s="64"/>
      <c r="AD74" s="64"/>
      <c r="AE74" s="64"/>
      <c r="AF74" s="64"/>
    </row>
    <row r="75" spans="1:32">
      <c r="A75" s="64"/>
      <c r="B75" s="64"/>
      <c r="C75" s="64"/>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64"/>
      <c r="AD75" s="64"/>
      <c r="AE75" s="64"/>
      <c r="AF75" s="64"/>
    </row>
    <row r="76" spans="1:32">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64"/>
      <c r="AD76" s="64"/>
      <c r="AE76" s="64"/>
      <c r="AF76" s="64"/>
    </row>
    <row r="77" spans="1:32">
      <c r="A77" s="64"/>
      <c r="B77" s="64"/>
      <c r="C77" s="64"/>
      <c r="D77" s="64"/>
      <c r="E77" s="64"/>
      <c r="F77" s="64"/>
      <c r="G77" s="64"/>
      <c r="H77" s="64"/>
      <c r="I77" s="64"/>
      <c r="J77" s="64"/>
      <c r="K77" s="64"/>
      <c r="L77" s="64"/>
      <c r="M77" s="64"/>
      <c r="N77" s="64"/>
      <c r="O77" s="64"/>
      <c r="P77" s="64"/>
      <c r="Q77" s="64"/>
      <c r="R77" s="64"/>
      <c r="S77" s="64"/>
      <c r="T77" s="64"/>
      <c r="U77" s="64"/>
      <c r="V77" s="64"/>
      <c r="W77" s="64"/>
      <c r="X77" s="64"/>
      <c r="Y77" s="64"/>
      <c r="Z77" s="64"/>
      <c r="AA77" s="64"/>
      <c r="AB77" s="64"/>
      <c r="AC77" s="64"/>
      <c r="AD77" s="64"/>
      <c r="AE77" s="64"/>
      <c r="AF77" s="64"/>
    </row>
    <row r="78" spans="1:32">
      <c r="A78" s="64"/>
      <c r="B78" s="64"/>
      <c r="C78" s="64"/>
      <c r="D78" s="64"/>
      <c r="E78" s="64"/>
      <c r="F78" s="64"/>
      <c r="G78" s="64"/>
      <c r="H78" s="64"/>
      <c r="I78" s="64"/>
      <c r="J78" s="64"/>
      <c r="K78" s="64"/>
      <c r="L78" s="64"/>
      <c r="M78" s="64"/>
      <c r="N78" s="64"/>
      <c r="O78" s="64"/>
      <c r="P78" s="64"/>
      <c r="Q78" s="64"/>
      <c r="R78" s="64"/>
      <c r="S78" s="64"/>
      <c r="T78" s="64"/>
      <c r="U78" s="64"/>
      <c r="V78" s="64"/>
      <c r="W78" s="64"/>
      <c r="X78" s="64"/>
      <c r="Y78" s="64"/>
      <c r="Z78" s="64"/>
      <c r="AA78" s="64"/>
      <c r="AB78" s="64"/>
      <c r="AC78" s="64"/>
      <c r="AD78" s="64"/>
      <c r="AE78" s="64"/>
      <c r="AF78" s="64"/>
    </row>
    <row r="79" spans="1:32">
      <c r="A79" s="64"/>
      <c r="B79" s="64"/>
      <c r="C79" s="64"/>
      <c r="D79" s="64"/>
      <c r="E79" s="64"/>
      <c r="F79" s="64"/>
      <c r="G79" s="64"/>
      <c r="H79" s="64"/>
      <c r="I79" s="64"/>
      <c r="J79" s="64"/>
      <c r="K79" s="64"/>
      <c r="L79" s="64"/>
      <c r="M79" s="64"/>
      <c r="N79" s="64"/>
      <c r="O79" s="64"/>
      <c r="P79" s="64"/>
      <c r="Q79" s="64"/>
      <c r="R79" s="64"/>
      <c r="S79" s="64"/>
      <c r="T79" s="64"/>
      <c r="U79" s="64"/>
      <c r="V79" s="64"/>
      <c r="W79" s="64"/>
      <c r="X79" s="64"/>
      <c r="Y79" s="64"/>
      <c r="Z79" s="64"/>
      <c r="AA79" s="64"/>
      <c r="AB79" s="64"/>
      <c r="AC79" s="64"/>
      <c r="AD79" s="64"/>
      <c r="AE79" s="64"/>
      <c r="AF79" s="64"/>
    </row>
    <row r="80" spans="1:32">
      <c r="A80" s="64"/>
      <c r="B80" s="64"/>
      <c r="C80" s="64"/>
      <c r="D80" s="64"/>
      <c r="E80" s="64"/>
      <c r="F80" s="64"/>
      <c r="G80" s="64"/>
      <c r="H80" s="64"/>
      <c r="I80" s="64"/>
      <c r="J80" s="64"/>
      <c r="K80" s="64"/>
      <c r="L80" s="64"/>
      <c r="M80" s="64"/>
      <c r="N80" s="64"/>
      <c r="O80" s="64"/>
      <c r="P80" s="64"/>
      <c r="Q80" s="64"/>
      <c r="R80" s="64"/>
      <c r="S80" s="64"/>
      <c r="T80" s="64"/>
      <c r="U80" s="64"/>
      <c r="V80" s="64"/>
      <c r="W80" s="64"/>
      <c r="X80" s="64"/>
      <c r="Y80" s="64"/>
      <c r="Z80" s="64"/>
      <c r="AA80" s="64"/>
      <c r="AB80" s="64"/>
      <c r="AC80" s="64"/>
      <c r="AD80" s="64"/>
      <c r="AE80" s="64"/>
      <c r="AF80" s="64"/>
    </row>
    <row r="81" spans="1:32">
      <c r="A81" s="64"/>
      <c r="B81" s="64"/>
      <c r="C81" s="64"/>
      <c r="D81" s="64"/>
      <c r="E81" s="64"/>
      <c r="F81" s="64"/>
      <c r="G81" s="64"/>
      <c r="H81" s="64"/>
      <c r="I81" s="64"/>
      <c r="J81" s="64"/>
      <c r="K81" s="64"/>
      <c r="L81" s="64"/>
      <c r="M81" s="64"/>
      <c r="N81" s="64"/>
      <c r="O81" s="64"/>
      <c r="P81" s="64"/>
      <c r="Q81" s="64"/>
      <c r="R81" s="64"/>
      <c r="S81" s="64"/>
      <c r="T81" s="64"/>
      <c r="U81" s="64"/>
      <c r="V81" s="64"/>
      <c r="W81" s="64"/>
      <c r="X81" s="64"/>
      <c r="Y81" s="64"/>
      <c r="Z81" s="64"/>
      <c r="AA81" s="64"/>
      <c r="AB81" s="64"/>
      <c r="AC81" s="64"/>
      <c r="AD81" s="64"/>
      <c r="AE81" s="64"/>
      <c r="AF81" s="64"/>
    </row>
    <row r="82" spans="1:32">
      <c r="A82" s="64"/>
      <c r="B82" s="64"/>
      <c r="C82" s="64"/>
      <c r="D82" s="64"/>
      <c r="E82" s="64"/>
      <c r="F82" s="64"/>
      <c r="G82" s="64"/>
      <c r="H82" s="64"/>
      <c r="I82" s="64"/>
      <c r="J82" s="64"/>
      <c r="K82" s="64"/>
      <c r="L82" s="64"/>
      <c r="M82" s="64"/>
      <c r="N82" s="64"/>
      <c r="O82" s="64"/>
      <c r="P82" s="64"/>
      <c r="Q82" s="64"/>
      <c r="R82" s="64"/>
      <c r="S82" s="64"/>
      <c r="T82" s="64"/>
      <c r="U82" s="64"/>
      <c r="V82" s="64"/>
      <c r="W82" s="64"/>
      <c r="X82" s="64"/>
      <c r="Y82" s="64"/>
      <c r="Z82" s="64"/>
      <c r="AA82" s="64"/>
      <c r="AB82" s="64"/>
      <c r="AC82" s="64"/>
      <c r="AD82" s="64"/>
      <c r="AE82" s="64"/>
      <c r="AF82" s="64"/>
    </row>
    <row r="83" spans="1:32">
      <c r="A83" s="64"/>
      <c r="B83" s="64"/>
      <c r="C83" s="64"/>
      <c r="D83" s="64"/>
      <c r="E83" s="64"/>
      <c r="F83" s="64"/>
      <c r="G83" s="64"/>
      <c r="H83" s="64"/>
      <c r="I83" s="64"/>
      <c r="J83" s="64"/>
      <c r="K83" s="64"/>
      <c r="L83" s="64"/>
      <c r="M83" s="64"/>
      <c r="N83" s="64"/>
      <c r="O83" s="64"/>
      <c r="P83" s="64"/>
      <c r="Q83" s="64"/>
      <c r="R83" s="64"/>
      <c r="S83" s="64"/>
      <c r="T83" s="64"/>
      <c r="U83" s="64"/>
      <c r="V83" s="64"/>
      <c r="W83" s="64"/>
      <c r="X83" s="64"/>
      <c r="Y83" s="64"/>
      <c r="Z83" s="64"/>
      <c r="AA83" s="64"/>
      <c r="AB83" s="64"/>
      <c r="AC83" s="64"/>
      <c r="AD83" s="64"/>
      <c r="AE83" s="64"/>
      <c r="AF83" s="64"/>
    </row>
    <row r="84" spans="1:32">
      <c r="A84" s="64"/>
      <c r="B84" s="64"/>
      <c r="C84" s="64"/>
      <c r="D84" s="64"/>
      <c r="E84" s="64"/>
      <c r="F84" s="64"/>
      <c r="G84" s="64"/>
      <c r="H84" s="64"/>
      <c r="I84" s="64"/>
      <c r="J84" s="64"/>
      <c r="K84" s="64"/>
      <c r="L84" s="64"/>
      <c r="M84" s="64"/>
      <c r="N84" s="64"/>
      <c r="O84" s="64"/>
      <c r="P84" s="64"/>
      <c r="Q84" s="64"/>
      <c r="R84" s="64"/>
      <c r="S84" s="64"/>
      <c r="T84" s="64"/>
      <c r="U84" s="64"/>
      <c r="V84" s="64"/>
      <c r="W84" s="64"/>
      <c r="X84" s="64"/>
      <c r="Y84" s="64"/>
      <c r="Z84" s="64"/>
      <c r="AA84" s="64"/>
      <c r="AB84" s="64"/>
      <c r="AC84" s="64"/>
      <c r="AD84" s="64"/>
      <c r="AE84" s="64"/>
      <c r="AF84" s="64"/>
    </row>
    <row r="85" spans="1:32">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row>
    <row r="86" spans="1:32">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row>
    <row r="87" spans="1:32">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row>
    <row r="88" spans="1:32">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row>
    <row r="89" spans="1:32">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row>
    <row r="90" spans="1:32">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row>
    <row r="91" spans="1:32">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row>
    <row r="92" spans="1:32">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row>
    <row r="93" spans="1:32">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row>
    <row r="94" spans="1:32">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row>
    <row r="95" spans="1:32">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row>
    <row r="96" spans="1:32">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row>
    <row r="97" spans="1:32">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row>
    <row r="98" spans="1:32">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row>
    <row r="99" spans="1:32">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row>
    <row r="100" spans="1:32">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row>
  </sheetData>
  <sheetProtection algorithmName="SHA-512" hashValue="+UEXpqxfTID74dwL8D5IpHHr6aUcaJaUi+DF223vkYxLq4BwAg9GflI8aq+IhctTmNbzBHnu4Myi1C7ghFN13g==" saltValue="u7ZmCtYmoYFgFsNgMXtLPA==" spinCount="100000" sheet="1" objects="1" scenarios="1"/>
  <hyperlinks>
    <hyperlink ref="F1" location="Guide" display="Guide" xr:uid="{00000000-0004-0000-1600-000000000000}"/>
    <hyperlink ref="F2" location="Input" display="Input" xr:uid="{00000000-0004-0000-1600-000001000000}"/>
  </hyperlinks>
  <pageMargins left="0.7" right="0.7" top="0.75" bottom="0.75" header="0.3" footer="0.3"/>
  <pageSetup paperSize="9" scale="37" orientation="portrait" r:id="rId1"/>
  <headerFooter>
    <oddFooter>&amp;LNova Scotia Exploration Economics Model&amp;Rwww.indeva.com</oddFooter>
  </headerFooter>
  <colBreaks count="1" manualBreakCount="1">
    <brk id="21" max="1048575" man="1"/>
  </col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2">
    <tabColor theme="3" tint="0.79998168889431442"/>
  </sheetPr>
  <dimension ref="A1:BQ117"/>
  <sheetViews>
    <sheetView showGridLines="0" showRowColHeaders="0" showZeros="0" zoomScale="75" zoomScaleNormal="75" zoomScaleSheetLayoutView="30" workbookViewId="0">
      <pane xSplit="1" ySplit="30" topLeftCell="B34" activePane="bottomRight" state="frozen"/>
      <selection pane="topRight" activeCell="B1" sqref="B1"/>
      <selection pane="bottomLeft" activeCell="A31" sqref="A31"/>
      <selection pane="bottomRight"/>
    </sheetView>
  </sheetViews>
  <sheetFormatPr defaultRowHeight="15"/>
  <cols>
    <col min="1" max="1" width="36" customWidth="1"/>
    <col min="2" max="2" width="12.7109375" customWidth="1"/>
    <col min="3" max="3" width="10.42578125" customWidth="1"/>
    <col min="4" max="4" width="11.140625" customWidth="1"/>
    <col min="5" max="5" width="13.42578125" customWidth="1"/>
    <col min="6" max="6" width="11.28515625" customWidth="1"/>
    <col min="7" max="7" width="12.85546875" customWidth="1"/>
    <col min="8" max="8" width="11.140625" customWidth="1"/>
    <col min="9" max="9" width="12.28515625" bestFit="1" customWidth="1"/>
    <col min="10" max="10" width="12.140625" customWidth="1"/>
    <col min="11" max="11" width="10.5703125" customWidth="1"/>
    <col min="12" max="12" width="12.140625" customWidth="1"/>
    <col min="13" max="13" width="11.42578125" customWidth="1"/>
    <col min="14" max="14" width="11.85546875" customWidth="1"/>
    <col min="15" max="15" width="12.140625" customWidth="1"/>
    <col min="18" max="21" width="10.7109375" customWidth="1"/>
    <col min="22" max="22" width="12" customWidth="1"/>
    <col min="23" max="23" width="10.7109375" customWidth="1"/>
    <col min="24" max="24" width="12" customWidth="1"/>
    <col min="25" max="26" width="13.28515625" customWidth="1"/>
    <col min="27" max="27" width="13.28515625" bestFit="1" customWidth="1"/>
    <col min="28" max="28" width="12.140625" bestFit="1" customWidth="1"/>
    <col min="29" max="29" width="11" bestFit="1" customWidth="1"/>
    <col min="30" max="30" width="11" customWidth="1"/>
    <col min="31" max="31" width="13.28515625" bestFit="1" customWidth="1"/>
    <col min="32" max="32" width="11.85546875" customWidth="1"/>
    <col min="33" max="33" width="11" customWidth="1"/>
    <col min="34" max="34" width="12.140625" customWidth="1"/>
    <col min="35" max="36" width="11.85546875" customWidth="1"/>
    <col min="37" max="37" width="12.5703125" customWidth="1"/>
    <col min="38" max="39" width="11.85546875" customWidth="1"/>
    <col min="40" max="46" width="11.7109375" customWidth="1"/>
    <col min="47" max="47" width="13.5703125" customWidth="1"/>
    <col min="48" max="48" width="12.7109375" customWidth="1"/>
    <col min="57" max="57" width="11" customWidth="1"/>
    <col min="58" max="58" width="12.42578125" customWidth="1"/>
    <col min="59" max="59" width="10.7109375" customWidth="1"/>
    <col min="61" max="61" width="10.140625" customWidth="1"/>
    <col min="65" max="65" width="12" customWidth="1"/>
    <col min="66" max="66" width="13.5703125" customWidth="1"/>
  </cols>
  <sheetData>
    <row r="1" spans="1:69" ht="18.75">
      <c r="A1" s="152" t="str">
        <f>Input!B10</f>
        <v>Prospect X</v>
      </c>
      <c r="B1" s="153" t="s">
        <v>299</v>
      </c>
      <c r="C1" s="154"/>
      <c r="D1" s="154"/>
      <c r="E1" s="154"/>
      <c r="F1" s="93" t="s">
        <v>756</v>
      </c>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4"/>
      <c r="AH1" s="154"/>
      <c r="AI1" s="154"/>
      <c r="AJ1" s="154"/>
      <c r="AK1" s="154"/>
      <c r="AL1" s="154"/>
      <c r="AM1" s="154"/>
      <c r="AN1" s="154"/>
      <c r="AO1" s="155"/>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row>
    <row r="2" spans="1:69" ht="18.75">
      <c r="A2" s="156"/>
      <c r="B2" s="117"/>
      <c r="C2" s="117"/>
      <c r="D2" s="117"/>
      <c r="E2" s="117"/>
      <c r="F2" s="93" t="s">
        <v>139</v>
      </c>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17"/>
      <c r="AH2" s="117"/>
      <c r="AI2" s="117"/>
      <c r="AJ2" s="117"/>
      <c r="AK2" s="117"/>
      <c r="AL2" s="117"/>
      <c r="AM2" s="117"/>
      <c r="AN2" s="117"/>
      <c r="AO2" s="157"/>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row>
    <row r="3" spans="1:69">
      <c r="A3" s="110" t="s">
        <v>300</v>
      </c>
      <c r="B3" s="158">
        <f>Development!B57</f>
        <v>47987</v>
      </c>
      <c r="C3" s="110"/>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row>
    <row r="4" spans="1:69">
      <c r="A4" s="85" t="s">
        <v>301</v>
      </c>
      <c r="B4" s="85">
        <f>YEAR(prod_year)</f>
        <v>2031</v>
      </c>
      <c r="C4" s="85"/>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row>
    <row r="5" spans="1:69">
      <c r="A5" s="85" t="s">
        <v>302</v>
      </c>
      <c r="B5" s="85">
        <f>MONTH(prod_year)</f>
        <v>5</v>
      </c>
      <c r="C5" s="85"/>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row>
    <row r="6" spans="1:69">
      <c r="A6" s="85" t="s">
        <v>110</v>
      </c>
      <c r="B6" s="85">
        <f>Thresholds!E2</f>
        <v>290</v>
      </c>
      <c r="C6" s="85" t="str">
        <f>IF(Input!B13="Gas","bcf","mmbbl")</f>
        <v>mmbbl</v>
      </c>
      <c r="D6" s="64"/>
      <c r="E6" s="64"/>
      <c r="F6" s="64"/>
      <c r="G6" s="64"/>
      <c r="H6" s="64"/>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c r="AL6" s="64"/>
      <c r="AM6" s="64"/>
      <c r="AN6" s="64"/>
      <c r="AO6" s="64"/>
      <c r="AP6" s="64"/>
      <c r="AQ6" s="64"/>
      <c r="AR6" s="64"/>
      <c r="AS6" s="64"/>
      <c r="AT6" s="64"/>
      <c r="AU6" s="64"/>
      <c r="AV6" s="64"/>
      <c r="AW6" s="64"/>
      <c r="AX6" s="64"/>
      <c r="AY6" s="64"/>
      <c r="AZ6" s="64"/>
      <c r="BA6" s="64"/>
      <c r="BB6" s="64"/>
      <c r="BC6" s="64"/>
      <c r="BD6" s="64"/>
      <c r="BE6" s="64"/>
      <c r="BF6" s="64"/>
      <c r="BG6" s="64"/>
      <c r="BH6" s="64"/>
      <c r="BI6" s="64"/>
      <c r="BJ6" s="64"/>
      <c r="BK6" s="64"/>
      <c r="BL6" s="64"/>
      <c r="BM6" s="64"/>
      <c r="BN6" s="64"/>
      <c r="BO6" s="64"/>
      <c r="BP6" s="64"/>
      <c r="BQ6" s="64"/>
    </row>
    <row r="7" spans="1:69">
      <c r="A7" s="85" t="s">
        <v>303</v>
      </c>
      <c r="B7" s="101">
        <f>MAX(0,(Development!B59-Development!B57)*(IF(Input!B13="Gas",'Sched &amp; Prod Assumptions'!C23,'Sched &amp; Prod Assumptions'!C22)-Development!G37)/(1-Development!G37))</f>
        <v>60.399999999999984</v>
      </c>
      <c r="C7" s="85" t="s">
        <v>304</v>
      </c>
      <c r="D7" s="64"/>
      <c r="E7" s="64"/>
      <c r="F7" s="64"/>
      <c r="G7" s="64"/>
      <c r="H7" s="64"/>
      <c r="I7" s="64"/>
      <c r="J7" s="64"/>
      <c r="K7" s="64"/>
      <c r="L7" s="64"/>
      <c r="M7" s="64"/>
      <c r="N7" s="64"/>
      <c r="O7" s="64"/>
      <c r="P7" s="143"/>
      <c r="Q7" s="64"/>
      <c r="R7" s="64"/>
      <c r="S7" s="64"/>
      <c r="T7" s="64"/>
      <c r="U7" s="64"/>
      <c r="V7" s="64"/>
      <c r="W7" s="64"/>
      <c r="X7" s="64"/>
      <c r="Y7" s="64"/>
      <c r="Z7" s="64"/>
      <c r="AA7" s="64"/>
      <c r="AB7" s="64"/>
      <c r="AC7" s="64"/>
      <c r="AD7" s="64"/>
      <c r="AE7" s="64"/>
      <c r="AF7" s="64"/>
      <c r="AG7" s="64"/>
      <c r="AH7" s="64"/>
      <c r="AI7" s="64"/>
      <c r="AJ7" s="64"/>
      <c r="AK7" s="64"/>
      <c r="AL7" s="64"/>
      <c r="AM7" s="64"/>
      <c r="AN7" s="64"/>
      <c r="AO7" s="64"/>
      <c r="AP7" s="64"/>
      <c r="AQ7" s="64"/>
      <c r="AR7" s="64"/>
      <c r="AS7" s="64"/>
      <c r="AT7" s="64"/>
      <c r="AU7" s="64"/>
      <c r="AV7" s="64"/>
      <c r="AW7" s="64"/>
      <c r="AX7" s="64"/>
      <c r="AY7" s="64"/>
      <c r="AZ7" s="64"/>
      <c r="BA7" s="64"/>
      <c r="BB7" s="64"/>
      <c r="BC7" s="64"/>
      <c r="BD7" s="64"/>
      <c r="BE7" s="64"/>
      <c r="BF7" s="64"/>
      <c r="BG7" s="64"/>
      <c r="BH7" s="64"/>
      <c r="BI7" s="64"/>
      <c r="BJ7" s="64"/>
      <c r="BK7" s="64"/>
      <c r="BL7" s="64"/>
      <c r="BM7" s="64"/>
      <c r="BN7" s="64"/>
      <c r="BO7" s="64"/>
      <c r="BP7" s="64"/>
      <c r="BQ7" s="64"/>
    </row>
    <row r="8" spans="1:69">
      <c r="A8" s="85" t="s">
        <v>305</v>
      </c>
      <c r="B8" s="101">
        <f>IF(OR(B7=0,B14=0),0,-B9/B14+(B9^2+2*B14*B12*1000)^0.5/B14)</f>
        <v>566.00433077534876</v>
      </c>
      <c r="C8" s="85" t="s">
        <v>304</v>
      </c>
      <c r="D8" s="122"/>
      <c r="E8" s="64"/>
      <c r="F8" s="64"/>
      <c r="G8" s="64"/>
      <c r="H8" s="64"/>
      <c r="I8" s="64"/>
      <c r="J8" s="64"/>
      <c r="K8" s="64"/>
      <c r="L8" s="64"/>
      <c r="M8" s="64"/>
      <c r="N8" s="64"/>
      <c r="O8" s="64"/>
      <c r="P8" s="143"/>
      <c r="Q8" s="64"/>
      <c r="R8" s="64"/>
      <c r="S8" s="64"/>
      <c r="T8" s="64"/>
      <c r="U8" s="64"/>
      <c r="V8" s="64"/>
      <c r="W8" s="64"/>
      <c r="X8" s="64"/>
      <c r="Y8" s="64"/>
      <c r="Z8" s="64"/>
      <c r="AA8" s="64"/>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row>
    <row r="9" spans="1:69">
      <c r="A9" s="85" t="s">
        <v>306</v>
      </c>
      <c r="B9" s="129">
        <f>B10*Development!B58/Development!B15</f>
        <v>45.401174168297452</v>
      </c>
      <c r="C9" s="85" t="str">
        <f>IF(Input!B13="Gas","MMSCFD","MBOPD")</f>
        <v>MBOPD</v>
      </c>
      <c r="D9" s="64"/>
      <c r="E9" s="64"/>
      <c r="F9" s="64"/>
      <c r="G9" s="64"/>
      <c r="H9" s="64"/>
      <c r="I9" s="64"/>
      <c r="J9" s="64"/>
      <c r="K9" s="64"/>
      <c r="L9" s="64"/>
      <c r="M9" s="64"/>
      <c r="N9" s="64"/>
      <c r="O9" s="64"/>
      <c r="P9" s="143"/>
      <c r="Q9" s="64"/>
      <c r="R9" s="64"/>
      <c r="S9" s="64"/>
      <c r="T9" s="64"/>
      <c r="U9" s="64"/>
      <c r="V9" s="64"/>
      <c r="W9" s="64"/>
      <c r="X9" s="64"/>
      <c r="Y9" s="64"/>
      <c r="Z9" s="6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row>
    <row r="10" spans="1:69">
      <c r="A10" s="85" t="s">
        <v>307</v>
      </c>
      <c r="B10" s="129">
        <f>VLOOKUP(B6,IF(Input!B13="gas",'Sched &amp; Prod Assumptions'!A7:D13,'Sched &amp; Prod Assumptions'!F7:I13),2)*1000/365*B6</f>
        <v>79.452054794520549</v>
      </c>
      <c r="C10" s="85" t="str">
        <f>C9</f>
        <v>MBOPD</v>
      </c>
      <c r="D10" s="64"/>
      <c r="E10" s="64"/>
      <c r="F10" s="64"/>
      <c r="G10" s="64"/>
      <c r="H10" s="64"/>
      <c r="I10" s="64"/>
      <c r="J10" s="64"/>
      <c r="K10" s="64"/>
      <c r="L10" s="64"/>
      <c r="M10" s="64"/>
      <c r="N10" s="64"/>
      <c r="O10" s="64"/>
      <c r="P10" s="64"/>
      <c r="Q10" s="64"/>
      <c r="R10" s="64"/>
      <c r="S10" s="64"/>
      <c r="T10" s="64"/>
      <c r="U10" s="64"/>
      <c r="V10" s="64"/>
      <c r="W10" s="64"/>
      <c r="X10" s="64"/>
      <c r="Y10" s="64"/>
      <c r="Z10" s="64"/>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row>
    <row r="11" spans="1:69">
      <c r="A11" s="85" t="s">
        <v>308</v>
      </c>
      <c r="B11" s="129">
        <f>IF(B8&lt;B7,B9+B14*B8,B10)</f>
        <v>79.452054794520549</v>
      </c>
      <c r="C11" s="85"/>
      <c r="D11" s="64"/>
      <c r="E11" s="64"/>
      <c r="F11" s="64"/>
      <c r="G11" s="64"/>
      <c r="H11" s="64"/>
      <c r="I11" s="64"/>
      <c r="J11" s="64"/>
      <c r="K11" s="64"/>
      <c r="L11" s="64"/>
      <c r="M11" s="64"/>
      <c r="N11" s="64"/>
      <c r="O11" s="64"/>
      <c r="P11" s="64"/>
      <c r="Q11" s="64"/>
      <c r="R11" s="64"/>
      <c r="S11" s="64"/>
      <c r="T11" s="64"/>
      <c r="U11" s="64"/>
      <c r="V11" s="64"/>
      <c r="W11" s="64"/>
      <c r="X11" s="64"/>
      <c r="Y11" s="64"/>
      <c r="Z11" s="64"/>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row>
    <row r="12" spans="1:69">
      <c r="A12" s="85" t="s">
        <v>309</v>
      </c>
      <c r="B12" s="129">
        <f>VLOOKUP(B6,IF(Input!B13="gas",'Sched &amp; Prod Assumptions'!A7:D13,'Sched &amp; Prod Assumptions'!F7:I13),3)*B6</f>
        <v>116</v>
      </c>
      <c r="C12" s="85" t="str">
        <f>C6</f>
        <v>mmbbl</v>
      </c>
      <c r="D12" s="64"/>
      <c r="E12" s="64"/>
      <c r="F12" s="64"/>
      <c r="G12" s="64"/>
      <c r="H12" s="64"/>
      <c r="I12" s="64"/>
      <c r="J12" s="64"/>
      <c r="K12" s="64"/>
      <c r="L12" s="64"/>
      <c r="M12" s="64"/>
      <c r="N12" s="64"/>
      <c r="O12" s="64"/>
      <c r="P12" s="64"/>
      <c r="Q12" s="64"/>
      <c r="R12" s="64"/>
      <c r="S12" s="64"/>
      <c r="T12" s="64"/>
      <c r="U12" s="64"/>
      <c r="V12" s="64"/>
      <c r="W12" s="64"/>
      <c r="X12" s="64"/>
      <c r="Y12" s="64"/>
      <c r="Z12" s="6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row>
    <row r="13" spans="1:69">
      <c r="A13" s="85" t="s">
        <v>310</v>
      </c>
      <c r="B13" s="96">
        <f>VLOOKUP(B6,IF(Input!B13="gas",'Sched &amp; Prod Assumptions'!A7:D13,'Sched &amp; Prod Assumptions'!F7:I13),4)*B11/B10</f>
        <v>0.15</v>
      </c>
      <c r="C13" s="85"/>
      <c r="D13" s="64"/>
      <c r="E13" s="64"/>
      <c r="F13" s="64"/>
      <c r="G13" s="64"/>
      <c r="H13" s="64"/>
      <c r="I13" s="64"/>
      <c r="J13" s="64"/>
      <c r="K13" s="64"/>
      <c r="L13" s="64"/>
      <c r="M13" s="64"/>
      <c r="N13" s="64"/>
      <c r="O13" s="64"/>
      <c r="P13" s="64"/>
      <c r="Q13" s="64"/>
      <c r="R13" s="64"/>
      <c r="S13" s="64"/>
      <c r="T13" s="64"/>
      <c r="U13" s="64"/>
      <c r="V13" s="64"/>
      <c r="W13" s="64"/>
      <c r="X13" s="64"/>
      <c r="Y13" s="64"/>
      <c r="Z13" s="64"/>
      <c r="AA13" s="64"/>
      <c r="AB13" s="64"/>
      <c r="AC13" s="64"/>
      <c r="AD13" s="64"/>
      <c r="AE13" s="64"/>
      <c r="AF13" s="64"/>
      <c r="AG13" s="64"/>
      <c r="AH13" s="64"/>
      <c r="AI13" s="64"/>
      <c r="AJ13" s="64"/>
      <c r="AK13" s="64"/>
      <c r="AL13" s="64"/>
      <c r="AM13" s="64"/>
      <c r="AN13" s="64"/>
      <c r="AO13" s="64"/>
      <c r="AP13" s="64"/>
      <c r="AQ13" s="64"/>
      <c r="AR13" s="64"/>
      <c r="AS13" s="64"/>
      <c r="AT13" s="64"/>
      <c r="AU13" s="64"/>
      <c r="AV13" s="64"/>
      <c r="AW13" s="64"/>
      <c r="AX13" s="64"/>
      <c r="AY13" s="64"/>
      <c r="AZ13" s="64"/>
      <c r="BA13" s="64"/>
      <c r="BB13" s="64"/>
      <c r="BC13" s="64"/>
      <c r="BD13" s="64"/>
      <c r="BE13" s="64"/>
      <c r="BF13" s="64"/>
      <c r="BG13" s="64"/>
      <c r="BH13" s="64"/>
      <c r="BI13" s="64"/>
      <c r="BJ13" s="64"/>
      <c r="BK13" s="64"/>
      <c r="BL13" s="64"/>
      <c r="BM13" s="64"/>
      <c r="BN13" s="64"/>
      <c r="BO13" s="64"/>
      <c r="BP13" s="64"/>
      <c r="BQ13" s="64"/>
    </row>
    <row r="14" spans="1:69">
      <c r="A14" s="85" t="s">
        <v>311</v>
      </c>
      <c r="B14" s="159">
        <f>IF(B7=0,0,(B10-B9)/B7)</f>
        <v>0.56375630175866065</v>
      </c>
      <c r="C14" s="85" t="str">
        <f>IF(Input!B13="Gas","MMSCFD/D","MBOPD/D")</f>
        <v>MBOPD/D</v>
      </c>
      <c r="D14" s="64"/>
      <c r="E14" s="160"/>
      <c r="F14" s="64"/>
      <c r="G14" s="64"/>
      <c r="H14" s="64"/>
      <c r="I14" s="64"/>
      <c r="J14" s="64"/>
      <c r="K14" s="64"/>
      <c r="L14" s="64"/>
      <c r="M14" s="64"/>
      <c r="N14" s="64"/>
      <c r="O14" s="64"/>
      <c r="P14" s="64"/>
      <c r="Q14" s="64"/>
      <c r="R14" s="64"/>
      <c r="S14" s="64"/>
      <c r="T14" s="64"/>
      <c r="U14" s="64"/>
      <c r="V14" s="64"/>
      <c r="W14" s="64"/>
      <c r="X14" s="64"/>
      <c r="Y14" s="64"/>
      <c r="Z14" s="64"/>
      <c r="AA14" s="64"/>
      <c r="AB14" s="64"/>
      <c r="AC14" s="64"/>
      <c r="AD14" s="64"/>
      <c r="AE14" s="64"/>
      <c r="AF14" s="64"/>
      <c r="AG14" s="64"/>
      <c r="AH14" s="64"/>
      <c r="AI14" s="64"/>
      <c r="AJ14" s="64"/>
      <c r="AK14" s="64"/>
      <c r="AL14" s="64"/>
      <c r="AM14" s="64"/>
      <c r="AN14" s="64"/>
      <c r="AO14" s="64"/>
      <c r="AP14" s="64"/>
      <c r="AQ14" s="64"/>
      <c r="AR14" s="64"/>
      <c r="AS14" s="64"/>
      <c r="AT14" s="64"/>
      <c r="AU14" s="64"/>
      <c r="AV14" s="64"/>
      <c r="AW14" s="64"/>
      <c r="AX14" s="64"/>
      <c r="AY14" s="64"/>
      <c r="AZ14" s="64"/>
      <c r="BA14" s="64"/>
      <c r="BB14" s="64"/>
      <c r="BC14" s="64"/>
      <c r="BD14" s="64"/>
      <c r="BE14" s="64"/>
      <c r="BF14" s="64"/>
      <c r="BG14" s="64"/>
      <c r="BH14" s="64"/>
      <c r="BI14" s="64"/>
      <c r="BJ14" s="64"/>
      <c r="BK14" s="64"/>
      <c r="BL14" s="64"/>
      <c r="BM14" s="64"/>
      <c r="BN14" s="64"/>
      <c r="BO14" s="64"/>
      <c r="BP14" s="64"/>
      <c r="BQ14" s="64"/>
    </row>
    <row r="15" spans="1:69">
      <c r="A15" s="85" t="s">
        <v>312</v>
      </c>
      <c r="B15" s="159">
        <f>-LN(1-B13)/365</f>
        <v>4.4525734108979433E-4</v>
      </c>
      <c r="C15" s="85"/>
      <c r="D15" s="64"/>
      <c r="E15" s="64"/>
      <c r="F15" s="64"/>
      <c r="G15" s="64"/>
      <c r="H15" s="64"/>
      <c r="I15" s="64"/>
      <c r="J15" s="64"/>
      <c r="K15" s="64"/>
      <c r="L15" s="64"/>
      <c r="M15" s="64"/>
      <c r="N15" s="64"/>
      <c r="O15" s="64"/>
      <c r="P15" s="64"/>
      <c r="Q15" s="64"/>
      <c r="R15" s="64"/>
      <c r="S15" s="64"/>
      <c r="T15" s="64"/>
      <c r="U15" s="64"/>
      <c r="V15" s="64"/>
      <c r="W15" s="64"/>
      <c r="X15" s="64"/>
      <c r="Y15" s="64"/>
      <c r="Z15" s="64"/>
      <c r="AA15" s="64"/>
      <c r="AB15" s="64"/>
      <c r="AC15" s="64"/>
      <c r="AD15" s="64"/>
      <c r="AE15" s="64"/>
      <c r="AF15" s="64"/>
      <c r="AG15" s="64"/>
      <c r="AH15" s="64"/>
      <c r="AI15" s="64"/>
      <c r="AJ15" s="64"/>
      <c r="AK15" s="64"/>
      <c r="AL15" s="64"/>
      <c r="AM15" s="64"/>
      <c r="AN15" s="64"/>
      <c r="AO15" s="64"/>
      <c r="AP15" s="64"/>
      <c r="AQ15" s="64"/>
      <c r="AR15" s="64"/>
      <c r="AS15" s="64"/>
      <c r="AT15" s="64"/>
      <c r="AU15" s="64"/>
      <c r="AV15" s="64"/>
      <c r="AW15" s="64"/>
      <c r="AX15" s="64"/>
      <c r="AY15" s="64"/>
      <c r="AZ15" s="64"/>
      <c r="BA15" s="64"/>
      <c r="BB15" s="64"/>
      <c r="BC15" s="64"/>
      <c r="BD15" s="64"/>
      <c r="BE15" s="64"/>
      <c r="BF15" s="64"/>
      <c r="BG15" s="64"/>
      <c r="BH15" s="64"/>
      <c r="BI15" s="64"/>
      <c r="BJ15" s="64"/>
      <c r="BK15" s="64"/>
      <c r="BL15" s="64"/>
      <c r="BM15" s="64"/>
      <c r="BN15" s="64"/>
      <c r="BO15" s="64"/>
      <c r="BP15" s="64"/>
      <c r="BQ15" s="64"/>
    </row>
    <row r="16" spans="1:69">
      <c r="A16" s="85" t="s">
        <v>313</v>
      </c>
      <c r="B16" s="101">
        <f>-LN(1-(B6-C22)*B15*1000/B11)/B15</f>
        <v>8295.0521954071864</v>
      </c>
      <c r="C16" s="85"/>
      <c r="D16" s="64"/>
      <c r="E16" s="64"/>
      <c r="F16" s="64"/>
      <c r="G16" s="64"/>
      <c r="H16" s="64"/>
      <c r="I16" s="64"/>
      <c r="J16" s="64"/>
      <c r="K16" s="64"/>
      <c r="L16" s="64"/>
      <c r="M16" s="64"/>
      <c r="N16" s="64"/>
      <c r="O16" s="64"/>
      <c r="P16" s="64"/>
      <c r="Q16" s="64"/>
      <c r="R16" s="64"/>
      <c r="S16" s="64"/>
      <c r="T16" s="64"/>
      <c r="U16" s="64"/>
      <c r="V16" s="64"/>
      <c r="W16" s="64"/>
      <c r="X16" s="64"/>
      <c r="Y16" s="64"/>
      <c r="Z16" s="64"/>
      <c r="AA16" s="64"/>
      <c r="AB16" s="64"/>
      <c r="AC16" s="64"/>
      <c r="AD16" s="64"/>
      <c r="AE16" s="64"/>
      <c r="AF16" s="64"/>
      <c r="AG16" s="64"/>
      <c r="AH16" s="64"/>
      <c r="AI16" s="64"/>
      <c r="AJ16" s="64"/>
      <c r="AK16" s="64"/>
      <c r="AL16" s="64"/>
      <c r="AM16" s="64"/>
      <c r="AN16" s="64"/>
      <c r="AO16" s="64"/>
      <c r="AP16" s="64"/>
      <c r="AQ16" s="64"/>
      <c r="AR16" s="64"/>
      <c r="AS16" s="64"/>
      <c r="AT16" s="64"/>
      <c r="AU16" s="64"/>
      <c r="AV16" s="64"/>
      <c r="AW16" s="64"/>
      <c r="AX16" s="64"/>
      <c r="AY16" s="64"/>
      <c r="AZ16" s="64"/>
      <c r="BA16" s="64"/>
      <c r="BB16" s="64"/>
      <c r="BC16" s="64"/>
      <c r="BD16" s="64"/>
      <c r="BE16" s="64"/>
      <c r="BF16" s="64"/>
      <c r="BG16" s="64"/>
      <c r="BH16" s="64"/>
      <c r="BI16" s="64"/>
      <c r="BJ16" s="64"/>
      <c r="BK16" s="64"/>
      <c r="BL16" s="64"/>
      <c r="BM16" s="64"/>
      <c r="BN16" s="64"/>
      <c r="BO16" s="64"/>
      <c r="BP16" s="64"/>
      <c r="BQ16" s="64"/>
    </row>
    <row r="17" spans="1:69">
      <c r="A17" s="64"/>
      <c r="B17" s="122"/>
      <c r="C17" s="64"/>
      <c r="D17" s="64"/>
      <c r="E17" s="64"/>
      <c r="F17" s="64"/>
      <c r="G17" s="64"/>
      <c r="H17" s="64"/>
      <c r="I17" s="64"/>
      <c r="J17" s="64"/>
      <c r="K17" s="64"/>
      <c r="L17" s="64"/>
      <c r="M17" s="64"/>
      <c r="N17" s="64"/>
      <c r="O17" s="64"/>
      <c r="P17" s="64"/>
      <c r="Q17" s="64"/>
      <c r="R17" s="64"/>
      <c r="S17" s="64"/>
      <c r="T17" s="64"/>
      <c r="U17" s="64"/>
      <c r="V17" s="64"/>
      <c r="W17" s="64"/>
      <c r="X17" s="64"/>
      <c r="Y17" s="64"/>
      <c r="Z17" s="64"/>
      <c r="AA17" s="64"/>
      <c r="AB17" s="64"/>
      <c r="AC17" s="64"/>
      <c r="AD17" s="64"/>
      <c r="AE17" s="64"/>
      <c r="AF17" s="64"/>
      <c r="AG17" s="64"/>
      <c r="AH17" s="64"/>
      <c r="AI17" s="64"/>
      <c r="AJ17" s="64"/>
      <c r="AK17" s="64"/>
      <c r="AL17" s="64"/>
      <c r="AM17" s="64"/>
      <c r="AN17" s="64"/>
      <c r="AO17" s="64"/>
      <c r="AP17" s="64"/>
      <c r="AQ17" s="64"/>
      <c r="AR17" s="64"/>
      <c r="AS17" s="64"/>
      <c r="AT17" s="64"/>
      <c r="AU17" s="64"/>
      <c r="AV17" s="64"/>
      <c r="AW17" s="64"/>
      <c r="AX17" s="64"/>
      <c r="AY17" s="64"/>
      <c r="AZ17" s="64"/>
      <c r="BA17" s="64"/>
      <c r="BB17" s="64"/>
      <c r="BC17" s="64"/>
      <c r="BD17" s="64"/>
      <c r="BE17" s="64"/>
      <c r="BF17" s="64"/>
      <c r="BG17" s="64"/>
      <c r="BH17" s="64"/>
      <c r="BI17" s="64"/>
      <c r="BJ17" s="64"/>
      <c r="BK17" s="64"/>
      <c r="BL17" s="64"/>
      <c r="BM17" s="64"/>
      <c r="BN17" s="64"/>
      <c r="BO17" s="64"/>
      <c r="BP17" s="64"/>
      <c r="BQ17" s="64"/>
    </row>
    <row r="18" spans="1:69">
      <c r="A18" s="64"/>
      <c r="B18" s="89" t="s">
        <v>314</v>
      </c>
      <c r="C18" s="89" t="s">
        <v>27</v>
      </c>
      <c r="D18" s="89" t="s">
        <v>14</v>
      </c>
      <c r="E18" s="64"/>
      <c r="F18" s="64"/>
      <c r="G18" s="64"/>
      <c r="H18" s="64"/>
      <c r="I18" s="64"/>
      <c r="J18" s="64"/>
      <c r="K18" s="64"/>
      <c r="L18" s="64"/>
      <c r="M18" s="64"/>
      <c r="N18" s="64"/>
      <c r="O18" s="64"/>
      <c r="P18" s="64"/>
      <c r="Q18" s="64"/>
      <c r="R18" s="64"/>
      <c r="S18" s="64"/>
      <c r="T18" s="64"/>
      <c r="U18" s="64"/>
      <c r="V18" s="64"/>
      <c r="W18" s="64"/>
      <c r="X18" s="64"/>
      <c r="Y18" s="64"/>
      <c r="Z18" s="64"/>
      <c r="AA18" s="64"/>
      <c r="AB18" s="64"/>
      <c r="AC18" s="64"/>
      <c r="AD18" s="64"/>
      <c r="AE18" s="64"/>
      <c r="AF18" s="64"/>
      <c r="AG18" s="64"/>
      <c r="AH18" s="64"/>
      <c r="AI18" s="64"/>
      <c r="AJ18" s="64"/>
      <c r="AK18" s="64"/>
      <c r="AL18" s="64"/>
      <c r="AM18" s="64"/>
      <c r="AN18" s="64"/>
      <c r="AO18" s="64"/>
      <c r="AP18" s="64"/>
      <c r="AQ18" s="64"/>
      <c r="AR18" s="64"/>
      <c r="AS18" s="64"/>
      <c r="AT18" s="64"/>
      <c r="AU18" s="64"/>
      <c r="AV18" s="64"/>
      <c r="AW18" s="64"/>
      <c r="AX18" s="64"/>
      <c r="AY18" s="64"/>
      <c r="AZ18" s="64"/>
      <c r="BA18" s="64"/>
      <c r="BB18" s="64"/>
      <c r="BC18" s="64"/>
      <c r="BD18" s="64"/>
      <c r="BE18" s="64"/>
      <c r="BF18" s="64"/>
      <c r="BG18" s="64"/>
      <c r="BH18" s="64"/>
      <c r="BI18" s="64"/>
      <c r="BJ18" s="64"/>
      <c r="BK18" s="64"/>
      <c r="BL18" s="64"/>
      <c r="BM18" s="64"/>
      <c r="BN18" s="64"/>
      <c r="BO18" s="64"/>
      <c r="BP18" s="64"/>
      <c r="BQ18" s="64"/>
    </row>
    <row r="19" spans="1:69">
      <c r="A19" s="64"/>
      <c r="B19" s="97"/>
      <c r="C19" s="97" t="str">
        <f>C6</f>
        <v>mmbbl</v>
      </c>
      <c r="D19" s="97"/>
      <c r="E19" s="64"/>
      <c r="F19" s="64"/>
      <c r="G19" s="64"/>
      <c r="H19" s="64"/>
      <c r="I19" s="64"/>
      <c r="J19" s="64"/>
      <c r="K19" s="64"/>
      <c r="L19" s="64"/>
      <c r="M19" s="64"/>
      <c r="N19" s="64"/>
      <c r="O19" s="64"/>
      <c r="P19" s="64"/>
      <c r="Q19" s="64"/>
      <c r="R19" s="64"/>
      <c r="S19" s="64"/>
      <c r="T19" s="64"/>
      <c r="U19" s="64"/>
      <c r="V19" s="64"/>
      <c r="W19" s="64"/>
      <c r="X19" s="64"/>
      <c r="Y19" s="64"/>
      <c r="Z19" s="64"/>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row>
    <row r="20" spans="1:69">
      <c r="A20" s="85" t="s">
        <v>253</v>
      </c>
      <c r="B20" s="119">
        <f>prod_year</f>
        <v>47987</v>
      </c>
      <c r="C20" s="101">
        <v>0</v>
      </c>
      <c r="D20" s="85">
        <f>YEAR(B20)</f>
        <v>2031</v>
      </c>
      <c r="E20" s="64"/>
      <c r="F20" s="64"/>
      <c r="G20" s="64"/>
      <c r="H20" s="64"/>
      <c r="I20" s="64"/>
      <c r="J20" s="64"/>
      <c r="K20" s="64"/>
      <c r="L20" s="64"/>
      <c r="M20" s="64"/>
      <c r="N20" s="64"/>
      <c r="O20" s="64"/>
      <c r="P20" s="64"/>
      <c r="Q20" s="64"/>
      <c r="R20" s="64"/>
      <c r="S20" s="85" t="s">
        <v>285</v>
      </c>
      <c r="T20" s="85">
        <f>IF('Devel Overrides'!C17=Lists!A38,1,0)</f>
        <v>0</v>
      </c>
      <c r="U20" s="64"/>
      <c r="V20" s="64"/>
      <c r="W20" s="64"/>
      <c r="X20" s="64"/>
      <c r="Y20" s="64"/>
      <c r="Z20" s="64"/>
      <c r="AA20" s="64"/>
      <c r="AB20" s="64"/>
      <c r="AC20" s="64"/>
      <c r="AD20" s="64"/>
      <c r="AE20" s="64"/>
      <c r="AF20" s="64"/>
      <c r="AG20" s="64"/>
      <c r="AH20" s="64"/>
      <c r="AI20" s="64"/>
      <c r="AJ20" s="64"/>
      <c r="AK20" s="64"/>
      <c r="AL20" s="64"/>
      <c r="AM20" s="64"/>
      <c r="AN20" s="64"/>
      <c r="AO20" s="64"/>
      <c r="AP20" s="64"/>
      <c r="AQ20" s="64"/>
      <c r="AR20" s="64"/>
      <c r="AS20" s="64"/>
      <c r="AT20" s="64"/>
      <c r="AU20" s="64"/>
      <c r="AV20" s="64"/>
      <c r="AW20" s="64"/>
      <c r="AX20" s="64"/>
      <c r="AY20" s="64"/>
      <c r="AZ20" s="64"/>
      <c r="BA20" s="64"/>
      <c r="BB20" s="64"/>
      <c r="BC20" s="64"/>
      <c r="BD20" s="64"/>
      <c r="BE20" s="64"/>
      <c r="BF20" s="64"/>
      <c r="BG20" s="64"/>
      <c r="BH20" s="64"/>
      <c r="BI20" s="64"/>
      <c r="BJ20" s="64"/>
      <c r="BK20" s="64"/>
      <c r="BL20" s="64"/>
      <c r="BM20" s="64"/>
      <c r="BN20" s="64"/>
      <c r="BO20" s="64"/>
      <c r="BP20" s="64"/>
      <c r="BQ20" s="64"/>
    </row>
    <row r="21" spans="1:69">
      <c r="A21" s="85" t="s">
        <v>316</v>
      </c>
      <c r="B21" s="119">
        <f>B20+MIN(B7,B8)</f>
        <v>48047.4</v>
      </c>
      <c r="C21" s="101">
        <f>MIN(B12,(B9+B10)/2*B7/1000)</f>
        <v>3.7705675146771029</v>
      </c>
      <c r="D21" s="85">
        <f>YEAR(B21)</f>
        <v>2031</v>
      </c>
      <c r="E21" s="64"/>
      <c r="F21" s="64"/>
      <c r="G21" s="64"/>
      <c r="H21" s="64"/>
      <c r="I21" s="64"/>
      <c r="J21" s="64"/>
      <c r="K21" s="64"/>
      <c r="L21" s="64"/>
      <c r="M21" s="64"/>
      <c r="N21" s="64"/>
      <c r="O21" s="64"/>
      <c r="P21" s="64"/>
      <c r="Q21" s="64"/>
      <c r="R21" s="64"/>
      <c r="S21" s="64"/>
      <c r="T21" s="161">
        <f>Development!AB86</f>
        <v>0.84109589041095889</v>
      </c>
      <c r="U21" s="64"/>
      <c r="V21" s="64"/>
      <c r="W21" s="64"/>
      <c r="X21" s="64"/>
      <c r="Y21" s="64"/>
      <c r="Z21" s="64"/>
      <c r="AA21" s="64"/>
      <c r="AB21" s="64"/>
      <c r="AC21" s="64"/>
      <c r="AD21" s="64"/>
      <c r="AE21" s="64"/>
      <c r="AF21" s="64"/>
      <c r="AG21" s="64"/>
      <c r="AH21" s="64"/>
      <c r="AI21" s="64"/>
      <c r="AJ21" s="64"/>
      <c r="AK21" s="64"/>
      <c r="AL21" s="64"/>
      <c r="AM21" s="64"/>
      <c r="AN21" s="64"/>
      <c r="AO21" s="64"/>
      <c r="AP21" s="64"/>
      <c r="AQ21" s="64"/>
      <c r="AR21" s="64"/>
      <c r="AS21" s="64"/>
      <c r="AT21" s="64"/>
      <c r="AU21" s="64"/>
      <c r="AV21" s="64"/>
      <c r="AW21" s="64"/>
      <c r="AX21" s="64"/>
      <c r="AY21" s="64"/>
      <c r="AZ21" s="64"/>
      <c r="BA21" s="64"/>
      <c r="BB21" s="64"/>
      <c r="BC21" s="64"/>
      <c r="BD21" s="64"/>
      <c r="BE21" s="64"/>
      <c r="BF21" s="64"/>
      <c r="BG21" s="64"/>
      <c r="BH21" s="64"/>
      <c r="BI21" s="64"/>
      <c r="BJ21" s="64"/>
      <c r="BK21" s="64"/>
      <c r="BL21" s="64"/>
      <c r="BM21" s="64"/>
      <c r="BN21" s="64"/>
      <c r="BO21" s="64"/>
      <c r="BP21" s="64"/>
      <c r="BQ21" s="64"/>
    </row>
    <row r="22" spans="1:69">
      <c r="A22" s="85" t="s">
        <v>317</v>
      </c>
      <c r="B22" s="119">
        <f>MAX(B21,B21+(B12-C21)/B10*1000)</f>
        <v>49459.942857142858</v>
      </c>
      <c r="C22" s="101">
        <f>B12</f>
        <v>116</v>
      </c>
      <c r="D22" s="85">
        <f>YEAR(B22)</f>
        <v>2035</v>
      </c>
      <c r="E22" s="64"/>
      <c r="F22" s="64"/>
      <c r="G22" s="64"/>
      <c r="H22" s="64"/>
      <c r="I22" s="64"/>
      <c r="J22" s="64"/>
      <c r="K22" s="64"/>
      <c r="L22" s="64"/>
      <c r="M22" s="64"/>
      <c r="N22" s="64"/>
      <c r="O22" s="64"/>
      <c r="P22" s="64"/>
      <c r="Q22" s="64"/>
      <c r="R22" s="64"/>
      <c r="S22" s="64"/>
      <c r="T22" s="162">
        <f>1-T21</f>
        <v>0.15890410958904111</v>
      </c>
      <c r="U22" s="64"/>
      <c r="V22" s="64"/>
      <c r="W22" s="64"/>
      <c r="X22" s="64"/>
      <c r="Y22" s="64"/>
      <c r="Z22" s="64"/>
      <c r="AA22" s="64"/>
      <c r="AB22" s="64"/>
      <c r="AC22" s="64"/>
      <c r="AD22" s="64"/>
      <c r="AE22" s="64"/>
      <c r="AF22" s="64"/>
      <c r="AG22" s="64"/>
      <c r="AH22" s="64"/>
      <c r="AI22" s="64"/>
      <c r="AJ22" s="64"/>
      <c r="AK22" s="64"/>
      <c r="AL22" s="64"/>
      <c r="AM22" s="64"/>
      <c r="AN22" s="64"/>
      <c r="AO22" s="64"/>
      <c r="AP22" s="64"/>
      <c r="AQ22" s="64"/>
      <c r="AR22" s="64"/>
      <c r="AS22" s="64"/>
      <c r="AT22" s="64"/>
      <c r="AU22" s="64"/>
      <c r="AV22" s="64"/>
      <c r="AW22" s="64"/>
      <c r="AX22" s="64"/>
      <c r="AY22" s="64"/>
      <c r="AZ22" s="64"/>
      <c r="BA22" s="64"/>
      <c r="BB22" s="64"/>
      <c r="BC22" s="64"/>
      <c r="BD22" s="64"/>
      <c r="BE22" s="64"/>
      <c r="BF22" s="64"/>
      <c r="BG22" s="64"/>
      <c r="BH22" s="64"/>
      <c r="BI22" s="64"/>
      <c r="BJ22" s="64"/>
      <c r="BK22" s="64"/>
      <c r="BL22" s="64"/>
      <c r="BM22" s="64"/>
      <c r="BN22" s="64"/>
      <c r="BO22" s="64"/>
      <c r="BP22" s="64"/>
      <c r="BQ22" s="64"/>
    </row>
    <row r="23" spans="1:69">
      <c r="A23" s="64"/>
      <c r="B23" s="163"/>
      <c r="C23" s="64"/>
      <c r="D23" s="64"/>
      <c r="E23" s="64"/>
      <c r="F23" s="64"/>
      <c r="G23" s="64"/>
      <c r="H23" s="64"/>
      <c r="I23" s="64"/>
      <c r="J23" s="64"/>
      <c r="K23" s="64"/>
      <c r="L23" s="64"/>
      <c r="M23" s="64"/>
      <c r="N23" s="64"/>
      <c r="O23" s="64"/>
      <c r="P23" s="64"/>
      <c r="Q23" s="64"/>
      <c r="R23" s="64"/>
      <c r="S23" s="85" t="s">
        <v>14</v>
      </c>
      <c r="T23" s="85">
        <f>YEAR(Development!B8)</f>
        <v>2029</v>
      </c>
      <c r="U23" s="64"/>
      <c r="V23" s="64"/>
      <c r="W23" s="64"/>
      <c r="X23" s="64"/>
      <c r="Y23" s="64"/>
      <c r="Z23" s="64"/>
      <c r="AA23" s="64"/>
      <c r="AB23" s="64"/>
      <c r="AC23" s="64"/>
      <c r="AD23" s="64"/>
      <c r="AE23" s="64"/>
      <c r="AF23" s="64"/>
      <c r="AG23" s="64"/>
      <c r="AH23" s="64"/>
      <c r="AI23" s="64"/>
      <c r="AJ23" s="64"/>
      <c r="AK23" s="64"/>
      <c r="AL23" s="64"/>
      <c r="AM23" s="64"/>
      <c r="AN23" s="64"/>
      <c r="AO23" s="64"/>
      <c r="AP23" s="64"/>
      <c r="AQ23" s="64"/>
      <c r="AR23" s="64"/>
      <c r="AS23" s="64"/>
      <c r="AT23" s="64"/>
      <c r="AU23" s="64"/>
      <c r="AV23" s="64"/>
      <c r="AW23" s="64"/>
      <c r="AX23" s="64"/>
      <c r="AY23" s="64"/>
      <c r="AZ23" s="64"/>
      <c r="BA23" s="64"/>
      <c r="BB23" s="64"/>
      <c r="BC23" s="64"/>
      <c r="BD23" s="64"/>
      <c r="BE23" s="64"/>
      <c r="BF23" s="64"/>
      <c r="BG23" s="64"/>
      <c r="BH23" s="64"/>
      <c r="BI23" s="64"/>
      <c r="BJ23" s="64"/>
      <c r="BK23" s="64"/>
      <c r="BL23" s="64"/>
      <c r="BM23" s="64"/>
      <c r="BN23" s="64"/>
      <c r="BO23" s="64"/>
      <c r="BP23" s="64"/>
      <c r="BQ23" s="64"/>
    </row>
    <row r="24" spans="1:69">
      <c r="A24" s="164" t="s">
        <v>161</v>
      </c>
      <c r="B24" s="163"/>
      <c r="C24" s="64"/>
      <c r="D24" s="64"/>
      <c r="E24" s="64"/>
      <c r="F24" s="64"/>
      <c r="G24" s="64"/>
      <c r="H24" s="64"/>
      <c r="I24" s="64"/>
      <c r="J24" s="84" t="str">
        <f>IF(Input!B13="Gas","Condensate Production","Associated Gas Production")</f>
        <v>Associated Gas Production</v>
      </c>
      <c r="K24" s="64"/>
      <c r="L24" s="64"/>
      <c r="M24" s="64"/>
      <c r="N24" s="64"/>
      <c r="O24" s="64"/>
      <c r="P24" s="84" t="s">
        <v>753</v>
      </c>
      <c r="Q24" s="64"/>
      <c r="R24" s="64"/>
      <c r="S24" s="84" t="s">
        <v>318</v>
      </c>
      <c r="T24" s="64"/>
      <c r="U24" s="64"/>
      <c r="V24" s="64"/>
      <c r="W24" s="64"/>
      <c r="X24" s="84" t="s">
        <v>319</v>
      </c>
      <c r="Y24" s="64"/>
      <c r="Z24" s="64"/>
      <c r="AA24" s="64"/>
      <c r="AB24" s="133" t="s">
        <v>319</v>
      </c>
      <c r="AC24" s="64"/>
      <c r="AD24" s="64"/>
      <c r="AE24" s="64"/>
      <c r="AF24" s="64"/>
      <c r="AG24" s="84" t="s">
        <v>320</v>
      </c>
      <c r="AH24" s="64"/>
      <c r="AI24" s="64"/>
      <c r="AJ24" s="64"/>
      <c r="AK24" s="84" t="s">
        <v>321</v>
      </c>
      <c r="AL24" s="64"/>
      <c r="AM24" s="64"/>
      <c r="AN24" s="64"/>
      <c r="AO24" s="64"/>
      <c r="AP24" s="64"/>
      <c r="AQ24" s="64"/>
      <c r="AR24" s="64"/>
      <c r="AS24" s="64"/>
      <c r="AT24" s="64"/>
      <c r="AU24" s="64"/>
      <c r="AV24" s="64"/>
      <c r="AW24" s="64"/>
      <c r="AX24" s="64"/>
      <c r="AY24" s="64"/>
      <c r="AZ24" s="64"/>
      <c r="BA24" s="64"/>
      <c r="BB24" s="64"/>
      <c r="BC24" s="64"/>
      <c r="BD24" s="64"/>
      <c r="BE24" s="64"/>
      <c r="BF24" s="64"/>
      <c r="BG24" s="64"/>
      <c r="BH24" s="64"/>
      <c r="BI24" s="64"/>
      <c r="BJ24" s="64"/>
      <c r="BK24" s="64"/>
      <c r="BL24" s="64"/>
      <c r="BM24" s="64"/>
      <c r="BN24" s="64"/>
      <c r="BO24" s="64"/>
      <c r="BP24" s="64"/>
      <c r="BQ24" s="64"/>
    </row>
    <row r="25" spans="1:69">
      <c r="A25" s="64"/>
      <c r="B25" s="64"/>
      <c r="C25" s="64"/>
      <c r="D25" s="64"/>
      <c r="E25" s="64"/>
      <c r="F25" s="64"/>
      <c r="G25" s="64"/>
      <c r="H25" s="64"/>
      <c r="I25" s="64"/>
      <c r="J25" s="64"/>
      <c r="K25" s="64"/>
      <c r="L25" s="64"/>
      <c r="M25" s="64"/>
      <c r="N25" s="64"/>
      <c r="O25" s="64"/>
      <c r="P25" s="64"/>
      <c r="Q25" s="64"/>
      <c r="R25" s="64"/>
      <c r="S25" s="64"/>
      <c r="T25" s="64"/>
      <c r="U25" s="64"/>
      <c r="V25" s="64"/>
      <c r="W25" s="64"/>
      <c r="X25" s="64"/>
      <c r="Y25" s="64"/>
      <c r="Z25" s="64"/>
      <c r="AA25" s="64"/>
      <c r="AB25" s="133" t="s">
        <v>322</v>
      </c>
      <c r="AC25" s="64"/>
      <c r="AD25" s="64"/>
      <c r="AE25" s="64"/>
      <c r="AF25" s="64"/>
      <c r="AG25" s="64"/>
      <c r="AH25" s="64"/>
      <c r="AI25" s="64"/>
      <c r="AJ25" s="64"/>
      <c r="AK25" s="64"/>
      <c r="AL25" s="64"/>
      <c r="AM25" s="64"/>
      <c r="AN25" s="64"/>
      <c r="AO25" s="64"/>
      <c r="AP25" s="64"/>
      <c r="AQ25" s="64"/>
      <c r="AR25" s="64"/>
      <c r="AS25" s="64"/>
      <c r="AT25" s="64"/>
      <c r="AU25" s="64"/>
      <c r="AV25" s="64"/>
      <c r="AW25" s="64"/>
      <c r="AX25" s="64"/>
      <c r="AY25" s="64"/>
      <c r="AZ25" s="64"/>
      <c r="BA25" s="64"/>
      <c r="BB25" s="64"/>
      <c r="BC25" s="64"/>
      <c r="BD25" s="64"/>
      <c r="BE25" s="64"/>
      <c r="BF25" s="64"/>
      <c r="BG25" s="64"/>
      <c r="BH25" s="64"/>
      <c r="BI25" s="64"/>
      <c r="BJ25" s="64"/>
      <c r="BK25" s="64"/>
      <c r="BL25" s="64"/>
      <c r="BM25" s="64"/>
      <c r="BN25" s="64"/>
      <c r="BO25" s="64"/>
      <c r="BP25" s="64"/>
      <c r="BQ25" s="64"/>
    </row>
    <row r="26" spans="1:69">
      <c r="A26" s="104" t="s">
        <v>14</v>
      </c>
      <c r="B26" s="104" t="s">
        <v>153</v>
      </c>
      <c r="C26" s="104" t="s">
        <v>323</v>
      </c>
      <c r="D26" s="104" t="s">
        <v>324</v>
      </c>
      <c r="E26" s="104" t="s">
        <v>325</v>
      </c>
      <c r="F26" s="104" t="s">
        <v>325</v>
      </c>
      <c r="G26" s="104" t="s">
        <v>13</v>
      </c>
      <c r="H26" s="104" t="s">
        <v>326</v>
      </c>
      <c r="I26" s="64"/>
      <c r="J26" s="104" t="s">
        <v>13</v>
      </c>
      <c r="K26" s="104" t="s">
        <v>327</v>
      </c>
      <c r="L26" s="64"/>
      <c r="M26" s="89" t="s">
        <v>328</v>
      </c>
      <c r="N26" s="89" t="s">
        <v>328</v>
      </c>
      <c r="O26" s="115"/>
      <c r="P26" s="89" t="s">
        <v>329</v>
      </c>
      <c r="Q26" s="89" t="s">
        <v>635</v>
      </c>
      <c r="R26" s="64"/>
      <c r="S26" s="647" t="s">
        <v>330</v>
      </c>
      <c r="T26" s="89" t="s">
        <v>329</v>
      </c>
      <c r="U26" s="89" t="s">
        <v>635</v>
      </c>
      <c r="V26" s="89" t="s">
        <v>929</v>
      </c>
      <c r="W26" s="115"/>
      <c r="X26" s="89" t="s">
        <v>329</v>
      </c>
      <c r="Y26" s="89" t="s">
        <v>635</v>
      </c>
      <c r="Z26" s="89" t="s">
        <v>929</v>
      </c>
      <c r="AA26" s="115"/>
      <c r="AB26" s="89" t="s">
        <v>329</v>
      </c>
      <c r="AC26" s="89" t="s">
        <v>635</v>
      </c>
      <c r="AD26" s="89" t="s">
        <v>929</v>
      </c>
      <c r="AE26" s="64"/>
      <c r="AF26" s="64"/>
      <c r="AG26" s="89" t="s">
        <v>329</v>
      </c>
      <c r="AH26" s="89" t="s">
        <v>635</v>
      </c>
      <c r="AI26" s="89" t="s">
        <v>929</v>
      </c>
      <c r="AJ26" s="64"/>
      <c r="AK26" s="89" t="s">
        <v>329</v>
      </c>
      <c r="AL26" s="89" t="s">
        <v>635</v>
      </c>
      <c r="AM26" s="89" t="s">
        <v>929</v>
      </c>
      <c r="AN26" s="89" t="s">
        <v>13</v>
      </c>
      <c r="AO26" s="106"/>
      <c r="AP26" s="64"/>
      <c r="AQ26" s="64"/>
      <c r="AR26" s="64"/>
      <c r="AS26" s="64"/>
      <c r="AT26" s="64"/>
      <c r="AU26" s="64"/>
      <c r="AV26" s="64"/>
      <c r="AW26" s="64"/>
      <c r="AX26" s="64"/>
      <c r="AY26" s="64"/>
      <c r="AZ26" s="64"/>
      <c r="BA26" s="64"/>
      <c r="BB26" s="64"/>
      <c r="BC26" s="64"/>
      <c r="BD26" s="64"/>
      <c r="BE26" s="64"/>
      <c r="BF26" s="64"/>
      <c r="BG26" s="64"/>
      <c r="BH26" s="64"/>
      <c r="BI26" s="64"/>
      <c r="BJ26" s="64"/>
      <c r="BK26" s="64"/>
      <c r="BL26" s="64"/>
      <c r="BM26" s="64"/>
      <c r="BN26" s="64"/>
      <c r="BO26" s="64"/>
      <c r="BP26" s="64"/>
      <c r="BQ26" s="64"/>
    </row>
    <row r="27" spans="1:69">
      <c r="A27" s="104"/>
      <c r="B27" s="104"/>
      <c r="C27" s="104" t="str">
        <f>C19</f>
        <v>mmbbl</v>
      </c>
      <c r="D27" s="104" t="str">
        <f>C27</f>
        <v>mmbbl</v>
      </c>
      <c r="E27" s="165" t="s">
        <v>304</v>
      </c>
      <c r="F27" s="104" t="str">
        <f>D27</f>
        <v>mmbbl</v>
      </c>
      <c r="G27" s="104" t="str">
        <f>D27</f>
        <v>mmbbl</v>
      </c>
      <c r="H27" s="104" t="str">
        <f>C14</f>
        <v>MBOPD/D</v>
      </c>
      <c r="I27" s="64"/>
      <c r="J27" s="104" t="str">
        <f>IF(Input!$B$13="Gas","MMBBL","BCF")</f>
        <v>BCF</v>
      </c>
      <c r="K27" s="104" t="str">
        <f>IF(Input!$B$13="Gas","MBBLD","MMSCFD")</f>
        <v>MMSCFD</v>
      </c>
      <c r="L27" s="64"/>
      <c r="M27" s="97" t="s">
        <v>153</v>
      </c>
      <c r="N27" s="97" t="s">
        <v>332</v>
      </c>
      <c r="O27" s="115"/>
      <c r="P27" s="97" t="s">
        <v>4</v>
      </c>
      <c r="Q27" s="97" t="s">
        <v>750</v>
      </c>
      <c r="R27" s="64"/>
      <c r="S27" s="649"/>
      <c r="T27" s="97" t="str">
        <f>P27</f>
        <v>BCF</v>
      </c>
      <c r="U27" s="97" t="str">
        <f>Q27</f>
        <v>mmbbl</v>
      </c>
      <c r="V27" s="97" t="s">
        <v>750</v>
      </c>
      <c r="W27" s="115"/>
      <c r="X27" s="90" t="str">
        <f>P27</f>
        <v>BCF</v>
      </c>
      <c r="Y27" s="90" t="str">
        <f>Q27</f>
        <v>mmbbl</v>
      </c>
      <c r="Z27" s="90" t="s">
        <v>750</v>
      </c>
      <c r="AA27" s="115"/>
      <c r="AB27" s="90" t="s">
        <v>315</v>
      </c>
      <c r="AC27" s="90" t="str">
        <f>Y27</f>
        <v>mmbbl</v>
      </c>
      <c r="AD27" s="90" t="str">
        <f>Z27</f>
        <v>mmbbl</v>
      </c>
      <c r="AE27" s="64"/>
      <c r="AF27" s="64"/>
      <c r="AG27" s="90" t="s">
        <v>315</v>
      </c>
      <c r="AH27" s="90" t="s">
        <v>636</v>
      </c>
      <c r="AI27" s="90" t="s">
        <v>636</v>
      </c>
      <c r="AJ27" s="64"/>
      <c r="AK27" s="97" t="s">
        <v>315</v>
      </c>
      <c r="AL27" s="97" t="str">
        <f>AH27</f>
        <v>MMBBL</v>
      </c>
      <c r="AM27" s="97" t="str">
        <f>AI27</f>
        <v>MMBBL</v>
      </c>
      <c r="AN27" s="97" t="s">
        <v>333</v>
      </c>
      <c r="AO27" s="97" t="s">
        <v>334</v>
      </c>
      <c r="AP27" s="64"/>
      <c r="AQ27" s="64"/>
      <c r="AR27" s="64"/>
      <c r="AS27" s="64"/>
      <c r="AT27" s="64"/>
      <c r="AU27" s="64"/>
      <c r="AV27" s="64"/>
      <c r="AW27" s="64"/>
      <c r="AX27" s="64"/>
      <c r="AY27" s="64"/>
      <c r="AZ27" s="64"/>
      <c r="BA27" s="64"/>
      <c r="BB27" s="64"/>
      <c r="BC27" s="64"/>
      <c r="BD27" s="64"/>
      <c r="BE27" s="64"/>
      <c r="BF27" s="64"/>
      <c r="BG27" s="64"/>
      <c r="BH27" s="64"/>
      <c r="BI27" s="64"/>
      <c r="BJ27" s="64"/>
      <c r="BK27" s="64"/>
      <c r="BL27" s="64"/>
      <c r="BM27" s="64"/>
      <c r="BN27" s="64"/>
      <c r="BO27" s="64"/>
      <c r="BP27" s="64"/>
      <c r="BQ27" s="64"/>
    </row>
    <row r="28" spans="1:69">
      <c r="A28" s="166"/>
      <c r="B28" s="166"/>
      <c r="C28" s="166"/>
      <c r="D28" s="166"/>
      <c r="E28" s="167"/>
      <c r="F28" s="166"/>
      <c r="G28" s="166"/>
      <c r="H28" s="166"/>
      <c r="I28" s="64"/>
      <c r="J28" s="64"/>
      <c r="K28" s="64"/>
      <c r="L28" s="64"/>
      <c r="M28" s="64"/>
      <c r="N28" s="64"/>
      <c r="O28" s="64"/>
      <c r="P28" s="64"/>
      <c r="Q28" s="64"/>
      <c r="R28" s="64"/>
      <c r="S28" s="64"/>
      <c r="T28" s="64"/>
      <c r="U28" s="64"/>
      <c r="V28" s="64"/>
      <c r="W28" s="64"/>
      <c r="X28" s="96"/>
      <c r="Y28" s="96"/>
      <c r="Z28" s="96"/>
      <c r="AA28" s="168"/>
      <c r="AB28" s="96"/>
      <c r="AC28" s="96"/>
      <c r="AD28" s="96"/>
      <c r="AE28" s="64"/>
      <c r="AF28" s="85" t="s">
        <v>124</v>
      </c>
      <c r="AG28" s="96">
        <f ca="1">Exploration!C9</f>
        <v>1</v>
      </c>
      <c r="AH28" s="96">
        <f ca="1">AG28</f>
        <v>1</v>
      </c>
      <c r="AI28" s="96">
        <f ca="1">AH28</f>
        <v>1</v>
      </c>
      <c r="AJ28" s="64"/>
      <c r="AK28" s="64"/>
      <c r="AL28" s="64"/>
      <c r="AM28" s="64"/>
      <c r="AN28" s="64"/>
      <c r="AO28" s="64"/>
      <c r="AP28" s="64"/>
      <c r="AQ28" s="64"/>
      <c r="AR28" s="64"/>
      <c r="AS28" s="64"/>
      <c r="AT28" s="64"/>
      <c r="AU28" s="64"/>
      <c r="AV28" s="64"/>
      <c r="AW28" s="64"/>
      <c r="AX28" s="64"/>
      <c r="AY28" s="64"/>
      <c r="AZ28" s="64"/>
      <c r="BA28" s="64"/>
      <c r="BB28" s="64"/>
      <c r="BC28" s="64"/>
      <c r="BD28" s="64"/>
      <c r="BE28" s="64"/>
      <c r="BF28" s="64"/>
      <c r="BG28" s="64"/>
      <c r="BH28" s="64"/>
      <c r="BI28" s="64"/>
      <c r="BJ28" s="64"/>
      <c r="BK28" s="64"/>
      <c r="BL28" s="64"/>
      <c r="BM28" s="64"/>
      <c r="BN28" s="64"/>
      <c r="BO28" s="64"/>
      <c r="BP28" s="64"/>
      <c r="BQ28" s="64"/>
    </row>
    <row r="29" spans="1:69">
      <c r="A29" s="85" t="s">
        <v>13</v>
      </c>
      <c r="B29" s="85"/>
      <c r="C29" s="100">
        <f>SUM(C31:C70)</f>
        <v>3.7705675146771029</v>
      </c>
      <c r="D29" s="100">
        <f>SUM(D31:D70)</f>
        <v>112.22943248532283</v>
      </c>
      <c r="E29" s="100"/>
      <c r="F29" s="100">
        <f>SUM(F31:F70)</f>
        <v>174.00000000000003</v>
      </c>
      <c r="G29" s="100">
        <f>SUM(G31:G70)</f>
        <v>289.99999999999994</v>
      </c>
      <c r="H29" s="100"/>
      <c r="I29" s="105"/>
      <c r="J29" s="100">
        <f>SUM(J31:J70)</f>
        <v>966.65700000000027</v>
      </c>
      <c r="K29" s="105"/>
      <c r="L29" s="105"/>
      <c r="M29" s="105"/>
      <c r="N29" s="105"/>
      <c r="O29" s="105"/>
      <c r="P29" s="100">
        <f>SUM(P31:P70)</f>
        <v>41.76</v>
      </c>
      <c r="Q29" s="100">
        <f>SUM(Q31:Q70)</f>
        <v>0</v>
      </c>
      <c r="R29" s="105"/>
      <c r="S29" s="105"/>
      <c r="T29" s="100">
        <f>SUM(T31:T70)</f>
        <v>0</v>
      </c>
      <c r="U29" s="100">
        <f>SUM(U31:U70)</f>
        <v>0</v>
      </c>
      <c r="V29" s="100">
        <f>SUM(V31:V70)</f>
        <v>0</v>
      </c>
      <c r="W29" s="145"/>
      <c r="X29" s="100">
        <f>SUM(X31:X70)</f>
        <v>924.89700000000005</v>
      </c>
      <c r="Y29" s="100">
        <f>SUM(Y31:Y70)</f>
        <v>289.99999999999994</v>
      </c>
      <c r="Z29" s="100">
        <f>SUM(Z31:Z70)</f>
        <v>0</v>
      </c>
      <c r="AA29" s="145"/>
      <c r="AB29" s="100">
        <f>SUM(AB31:AB70)</f>
        <v>915.52081985151744</v>
      </c>
      <c r="AC29" s="100">
        <f>SUM(AC31:AC70)</f>
        <v>287.06011345797424</v>
      </c>
      <c r="AD29" s="100">
        <f>SUM(AD31:AD70)</f>
        <v>0</v>
      </c>
      <c r="AE29" s="105"/>
      <c r="AF29" s="105"/>
      <c r="AG29" s="100">
        <f ca="1">SUM(AG31:AG70)</f>
        <v>915.52081985151744</v>
      </c>
      <c r="AH29" s="100">
        <f ca="1">SUM(AH31:AH70)</f>
        <v>287.06011345797424</v>
      </c>
      <c r="AI29" s="100">
        <f ca="1">SUM(AI31:AI70)</f>
        <v>0</v>
      </c>
      <c r="AJ29" s="105"/>
      <c r="AK29" s="100">
        <f>SUM(AK31:AK70)</f>
        <v>915.52081985151744</v>
      </c>
      <c r="AL29" s="100">
        <f>SUM(AL31:AL70)</f>
        <v>287.06011345797424</v>
      </c>
      <c r="AM29" s="100">
        <f>SUM(AM31:AM70)</f>
        <v>0</v>
      </c>
      <c r="AN29" s="100">
        <f>SUM(AN31:AN70)</f>
        <v>477.7936175937071</v>
      </c>
      <c r="AO29" s="105"/>
      <c r="AP29" s="64"/>
      <c r="AQ29" s="64"/>
      <c r="AR29" s="64"/>
      <c r="AS29" s="64"/>
      <c r="AT29" s="64"/>
      <c r="AU29" s="64"/>
      <c r="AV29" s="64"/>
      <c r="AW29" s="64"/>
      <c r="AX29" s="64"/>
      <c r="AY29" s="64"/>
      <c r="AZ29" s="64"/>
      <c r="BA29" s="64"/>
      <c r="BB29" s="64"/>
      <c r="BC29" s="64"/>
      <c r="BD29" s="64"/>
      <c r="BE29" s="64"/>
      <c r="BF29" s="64"/>
      <c r="BG29" s="64"/>
      <c r="BH29" s="64"/>
      <c r="BI29" s="64"/>
      <c r="BJ29" s="64"/>
      <c r="BK29" s="64"/>
      <c r="BL29" s="64"/>
      <c r="BM29" s="64"/>
      <c r="BN29" s="64"/>
      <c r="BO29" s="64"/>
      <c r="BP29" s="64"/>
      <c r="BQ29" s="64"/>
    </row>
    <row r="30" spans="1:69">
      <c r="A30" s="64"/>
      <c r="B30" s="64"/>
      <c r="C30" s="105"/>
      <c r="D30" s="105"/>
      <c r="E30" s="105"/>
      <c r="F30" s="105"/>
      <c r="G30" s="105"/>
      <c r="H30" s="105"/>
      <c r="I30" s="105"/>
      <c r="J30" s="105"/>
      <c r="K30" s="105"/>
      <c r="L30" s="105"/>
      <c r="M30" s="105"/>
      <c r="N30" s="105"/>
      <c r="O30" s="105"/>
      <c r="P30" s="105"/>
      <c r="Q30" s="105"/>
      <c r="R30" s="105"/>
      <c r="S30" s="105"/>
      <c r="T30" s="105"/>
      <c r="U30" s="105"/>
      <c r="V30" s="105"/>
      <c r="W30" s="105"/>
      <c r="X30" s="105"/>
      <c r="Y30" s="105"/>
      <c r="Z30" s="105"/>
      <c r="AA30" s="105"/>
      <c r="AB30" s="105"/>
      <c r="AC30" s="105"/>
      <c r="AD30" s="105"/>
      <c r="AE30" s="105"/>
      <c r="AF30" s="105"/>
      <c r="AG30" s="105"/>
      <c r="AH30" s="105"/>
      <c r="AI30" s="105"/>
      <c r="AJ30" s="105"/>
      <c r="AK30" s="105"/>
      <c r="AL30" s="105"/>
      <c r="AM30" s="105"/>
      <c r="AN30" s="105"/>
      <c r="AO30" s="105"/>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row>
    <row r="31" spans="1:69">
      <c r="A31" s="106">
        <f>'Success Cash Flow'!A10</f>
        <v>2023</v>
      </c>
      <c r="B31" s="106">
        <f>DATE(A31,12,31)-DATE(A31-1,12,31)</f>
        <v>365</v>
      </c>
      <c r="C31" s="107">
        <f>IF(A31&lt;$D$20,0,IF(A31=$D$20,IF(A31=$D$21,$C$21,(DATE(A31,12,31)-$B$20)*$B$9/1000+$B$14*(DATE(A31,12,31)-$B$20)^2/2/1000),IF(A31=$D$21,($B$21-DATE(A31-1,12,31))*$B$11/1000-($B$21-DATE(A31-1,12,31))^2/2*$B$14/1000,IF(A31&gt;$D$21,0,(((DATE(A31,12,31)+DATE(A31-1,12,31)-2*$B$20)*$B$14/2+$B$9)*B31)/1000))))</f>
        <v>0</v>
      </c>
      <c r="D31" s="107">
        <f t="shared" ref="D31:D42" si="0">IF($B$8&lt;$B$7,0,IF(A31&lt;$D$21,0,IF(A31=$D$21,(IF(A31=$D$22,$B$22,DATE(A31,12,31))-$B$21)*$B$11/1000,IF(A31&lt;$D$22,B31/1000*$B$11,IF(A31=$D$22,($B$22-DATE(A31-1,12,31))*$B$11/1000,0)))))</f>
        <v>0</v>
      </c>
      <c r="E31" s="107">
        <f>IF(A31&lt;$D$22,0,MIN(IF(A31=$D$22,DATE(A31,12,31)-$B$22,B31)+E30,$B$16))</f>
        <v>0</v>
      </c>
      <c r="F31" s="107">
        <f>$B$11/$B$15*(EXP(-$B$15*E30)-EXP(-$B$15*E31))/1000</f>
        <v>0</v>
      </c>
      <c r="G31" s="107">
        <f t="shared" ref="G31:G70" si="1">C31+D31+F31</f>
        <v>0</v>
      </c>
      <c r="H31" s="107">
        <f>IF(M31=0,0,G31/M31*1000)</f>
        <v>0</v>
      </c>
      <c r="I31" s="105"/>
      <c r="J31" s="107">
        <f>IF(AND(Input!$B$17=Lists!$Q$37,Input!$B$13="Oil"),0,G31*Input!$B$32/1000)</f>
        <v>0</v>
      </c>
      <c r="K31" s="107">
        <f>IF(M31=0,0,J31/M31)*1000</f>
        <v>0</v>
      </c>
      <c r="L31" s="105"/>
      <c r="M31" s="107">
        <f>IF(A31&lt;$B$4,0,IF(A31=$B$4,DATE(A31,12,31)-$B$20,IF(E31=$B$16,E31-E30,B31)))</f>
        <v>0</v>
      </c>
      <c r="N31" s="107">
        <f>M31/B31</f>
        <v>0</v>
      </c>
      <c r="O31" s="105"/>
      <c r="P31" s="107">
        <f>IF(Input!$B$13="Oil",MIN('Sched &amp; Prod Assumptions'!$C$19*'Sched &amp; Prod Assumptions'!$B$15*G31,J31),G31*'Sched &amp; Prod Assumptions'!$C$18)</f>
        <v>0</v>
      </c>
      <c r="Q31" s="107">
        <f>IF(Input!$B$13="Oil",IF(P31&lt;J31,0,Production!G31*'Sched &amp; Prod Assumptions'!$C$19-Production!P31/'Sched &amp; Prod Assumptions'!$C$17*Input!$B$31/1000),0)</f>
        <v>0</v>
      </c>
      <c r="R31" s="105"/>
      <c r="S31" s="107">
        <f>IF(A31=$T$23,1,IF(A31&gt;$T$23,1+S30,0))</f>
        <v>0</v>
      </c>
      <c r="T31" s="390">
        <f>IF($S31=0,0,INDEX('Devel Overrides'!$N$28:$N$69,$S31+1,1)*$T$21+INDEX('Devel Overrides'!$N$28:$N$69,$S31,1)*$T$22)*'Sensitivity Ranges'!$F$41</f>
        <v>0</v>
      </c>
      <c r="U31" s="390">
        <f>IF($S31=0,0,INDEX('Devel Overrides'!$O$28:$O$69,$S31+1,1)*$T$21+INDEX('Devel Overrides'!$O$28:$O$69,$S31,1)*$T$22)*'Sensitivity Ranges'!$F$41</f>
        <v>0</v>
      </c>
      <c r="V31" s="390">
        <f>IF($S31=0,0,INDEX('Devel Overrides'!$Q$28:$Q$69,$S31+1,1)*$T$21+INDEX('Devel Overrides'!$Q$28:$Q$69,$S31,1)*$T$22)*'Sensitivity Ranges'!$F$41</f>
        <v>0</v>
      </c>
      <c r="W31" s="145"/>
      <c r="X31" s="107">
        <f>IF($T$20=1,T31,IF(Input!$B$13="Gas",G31,J31)-P31)</f>
        <v>0</v>
      </c>
      <c r="Y31" s="107">
        <f>IF($T$20=1,U31,IF(Input!$B$13="Gas",0,G31-Q31))</f>
        <v>0</v>
      </c>
      <c r="Z31" s="107">
        <f>IF($T$20=1,V31,IF(Input!$B$13="Gas",J31,0))</f>
        <v>0</v>
      </c>
      <c r="AA31" s="145"/>
      <c r="AB31" s="107">
        <f>X31*Abandonment!$H16</f>
        <v>0</v>
      </c>
      <c r="AC31" s="107">
        <f>Y31*Abandonment!$H16</f>
        <v>0</v>
      </c>
      <c r="AD31" s="107">
        <f>Z31*Abandonment!$H16</f>
        <v>0</v>
      </c>
      <c r="AE31" s="105"/>
      <c r="AF31" s="105"/>
      <c r="AG31" s="107">
        <f ca="1">AB31*AG$28</f>
        <v>0</v>
      </c>
      <c r="AH31" s="107">
        <f t="shared" ref="AH31:AI70" ca="1" si="2">AC31*AH$28</f>
        <v>0</v>
      </c>
      <c r="AI31" s="107">
        <f t="shared" ca="1" si="2"/>
        <v>0</v>
      </c>
      <c r="AJ31" s="105"/>
      <c r="AK31" s="107">
        <f>X31*Abandonment!H16</f>
        <v>0</v>
      </c>
      <c r="AL31" s="107">
        <f>Y31*Abandonment!H16</f>
        <v>0</v>
      </c>
      <c r="AM31" s="107">
        <f>Z31*Abandonment!H16</f>
        <v>0</v>
      </c>
      <c r="AN31" s="107">
        <f>AK31/'Sched &amp; Prod Assumptions'!$B$15+Production!AL31+AM31</f>
        <v>0</v>
      </c>
      <c r="AO31" s="107">
        <f>AN31/0.365</f>
        <v>0</v>
      </c>
      <c r="AP31" s="64"/>
      <c r="AQ31" s="64"/>
      <c r="AR31" s="64"/>
      <c r="AS31" s="64"/>
      <c r="AT31" s="64"/>
      <c r="AU31" s="64"/>
      <c r="AV31" s="64"/>
      <c r="AW31" s="64"/>
      <c r="AX31" s="64"/>
      <c r="AY31" s="64"/>
      <c r="AZ31" s="64"/>
      <c r="BA31" s="64"/>
      <c r="BB31" s="64"/>
      <c r="BC31" s="64"/>
      <c r="BD31" s="64"/>
      <c r="BE31" s="64"/>
      <c r="BF31" s="64"/>
      <c r="BG31" s="64"/>
      <c r="BH31" s="64"/>
      <c r="BI31" s="64"/>
      <c r="BJ31" s="64"/>
      <c r="BK31" s="64"/>
      <c r="BL31" s="64"/>
      <c r="BM31" s="64"/>
      <c r="BN31" s="64"/>
      <c r="BO31" s="64"/>
      <c r="BP31" s="64"/>
      <c r="BQ31" s="64"/>
    </row>
    <row r="32" spans="1:69">
      <c r="A32" s="108">
        <f>A31+1</f>
        <v>2024</v>
      </c>
      <c r="B32" s="108">
        <f t="shared" ref="B32:B70" si="3">DATE(A32,12,31)-DATE(A32-1,12,31)</f>
        <v>366</v>
      </c>
      <c r="C32" s="109">
        <f>IF(A32&lt;$D$20,0,IF(A32=$D$20,IF(A32=$D$21,$C$21,(DATE(A32,12,31)-$B$20)*$B$9/1000+$B$14*(DATE(A32,12,31)-$B$20)^2/2/1000),IF(A32=$D$21,($B$21-DATE(A32-1,12,31))*$B$11/1000-($B$21-DATE(A32-1,12,31))^2/2*$B$14/1000,IF(A32&gt;$D$21,0,(((DATE(A32,12,31)+DATE(A32-1,12,31)-2*$B$20)*$B$14/2+$B$9)*B32)/1000))))</f>
        <v>0</v>
      </c>
      <c r="D32" s="109">
        <f t="shared" si="0"/>
        <v>0</v>
      </c>
      <c r="E32" s="109">
        <f t="shared" ref="E32:E70" si="4">IF(A32&lt;$D$22,0,MIN(IF(A32=$D$22,DATE(A32,12,31)-$B$22,B32)+E31,$B$16))</f>
        <v>0</v>
      </c>
      <c r="F32" s="109">
        <f>$B$11/$B$15*(EXP(-$B$15*E31)-EXP(-$B$15*E32))/1000</f>
        <v>0</v>
      </c>
      <c r="G32" s="109">
        <f t="shared" si="1"/>
        <v>0</v>
      </c>
      <c r="H32" s="109">
        <f t="shared" ref="H32:H70" si="5">IF(M32=0,0,G32/M32*1000)</f>
        <v>0</v>
      </c>
      <c r="I32" s="105"/>
      <c r="J32" s="109">
        <f>IF(AND(Input!$B$17=Lists!$Q$37,Input!$B$13="Oil"),0,G32*Input!$B$32/1000)</f>
        <v>0</v>
      </c>
      <c r="K32" s="109">
        <f t="shared" ref="K32:K70" si="6">IF(M32=0,0,J32/M32)*1000</f>
        <v>0</v>
      </c>
      <c r="L32" s="105"/>
      <c r="M32" s="109">
        <f t="shared" ref="M32:M70" si="7">IF(A32&lt;$B$4,0,IF(A32=$B$4,DATE(A32,12,31)-$B$20,IF(E32=$B$16,E32-E31,B32)))</f>
        <v>0</v>
      </c>
      <c r="N32" s="109">
        <f t="shared" ref="N32:N70" si="8">M32/B32</f>
        <v>0</v>
      </c>
      <c r="O32" s="105"/>
      <c r="P32" s="109">
        <f>IF(Input!$B$13="Oil",MIN('Sched &amp; Prod Assumptions'!$C$19*'Sched &amp; Prod Assumptions'!$B$15*G32,J32),G32*'Sched &amp; Prod Assumptions'!$C$18)</f>
        <v>0</v>
      </c>
      <c r="Q32" s="109">
        <f>IF(Input!$B$13="Oil",IF(P32&lt;J32,0,Production!G32*'Sched &amp; Prod Assumptions'!$C$19-Production!P32/'Sched &amp; Prod Assumptions'!$C$17*Input!$B$31/1000),0)</f>
        <v>0</v>
      </c>
      <c r="R32" s="105"/>
      <c r="S32" s="109">
        <f t="shared" ref="S32:S70" si="9">IF(A32=$T$23,1,IF(A32&gt;$T$23,1+S31,0))</f>
        <v>0</v>
      </c>
      <c r="T32" s="391">
        <f>IF($S32=0,0,INDEX('Devel Overrides'!$O$28:$O$69,$S32+1,1)*$T$21+INDEX('Devel Overrides'!$O$28:$O$69,$S32,1)*$T$22)*'Sensitivity Ranges'!$F$41</f>
        <v>0</v>
      </c>
      <c r="U32" s="391">
        <f>IF($S32=0,0,INDEX('Devel Overrides'!$P$28:$P$69,$S32+1,1)*$T$21+INDEX('Devel Overrides'!$P$28:$P$69,$S32,1)*$T$22)*'Sensitivity Ranges'!$F$41</f>
        <v>0</v>
      </c>
      <c r="V32" s="391">
        <f>IF($S32=0,0,INDEX('Devel Overrides'!$Q$28:$Q$69,$S32+1,1)*$T$21+INDEX('Devel Overrides'!$Q$28:$Q$69,$S32,1)*$T$22)*'Sensitivity Ranges'!$F$41</f>
        <v>0</v>
      </c>
      <c r="W32" s="145"/>
      <c r="X32" s="109">
        <f>IF($T$20=1,T32,IF(Input!$B$13="Gas",G32,J32)-P32)</f>
        <v>0</v>
      </c>
      <c r="Y32" s="109">
        <f>IF($T$20=1,U32,IF(Input!$B$13="Gas",0,G32-Q32))</f>
        <v>0</v>
      </c>
      <c r="Z32" s="109">
        <f>IF($T$20=1,V32,IF(Input!$B$13="Gas",J32,0))</f>
        <v>0</v>
      </c>
      <c r="AA32" s="145"/>
      <c r="AB32" s="109">
        <f>X32*Abandonment!$H17</f>
        <v>0</v>
      </c>
      <c r="AC32" s="109">
        <f>Y32*Abandonment!$H17</f>
        <v>0</v>
      </c>
      <c r="AD32" s="109">
        <f>Z32*Abandonment!$H17</f>
        <v>0</v>
      </c>
      <c r="AE32" s="105"/>
      <c r="AF32" s="105"/>
      <c r="AG32" s="109">
        <f t="shared" ref="AG32:AG70" ca="1" si="10">AB32*AG$28</f>
        <v>0</v>
      </c>
      <c r="AH32" s="109">
        <f t="shared" ca="1" si="2"/>
        <v>0</v>
      </c>
      <c r="AI32" s="109">
        <f t="shared" ca="1" si="2"/>
        <v>0</v>
      </c>
      <c r="AJ32" s="105"/>
      <c r="AK32" s="109">
        <f>X32*Abandonment!H17</f>
        <v>0</v>
      </c>
      <c r="AL32" s="109">
        <f>Y32*Abandonment!H17</f>
        <v>0</v>
      </c>
      <c r="AM32" s="109">
        <f>Z32*Abandonment!H17</f>
        <v>0</v>
      </c>
      <c r="AN32" s="109">
        <f>AK32/'Sched &amp; Prod Assumptions'!$B$15+Production!AL32+AM32</f>
        <v>0</v>
      </c>
      <c r="AO32" s="109">
        <f t="shared" ref="AO32:AO70" si="11">AN32/0.365</f>
        <v>0</v>
      </c>
      <c r="AP32" s="64"/>
      <c r="AQ32" s="64"/>
      <c r="AR32" s="64"/>
      <c r="AS32" s="64"/>
      <c r="AT32" s="64"/>
      <c r="AU32" s="64"/>
      <c r="AV32" s="64"/>
      <c r="AW32" s="64"/>
      <c r="AX32" s="64"/>
      <c r="AY32" s="64"/>
      <c r="AZ32" s="64"/>
      <c r="BA32" s="64"/>
      <c r="BB32" s="64"/>
      <c r="BC32" s="64"/>
      <c r="BD32" s="64"/>
      <c r="BE32" s="64"/>
      <c r="BF32" s="64"/>
      <c r="BG32" s="64"/>
      <c r="BH32" s="64"/>
      <c r="BI32" s="64"/>
      <c r="BJ32" s="64"/>
      <c r="BK32" s="64"/>
      <c r="BL32" s="64"/>
      <c r="BM32" s="64"/>
      <c r="BN32" s="64"/>
      <c r="BO32" s="64"/>
      <c r="BP32" s="64"/>
      <c r="BQ32" s="64"/>
    </row>
    <row r="33" spans="1:69">
      <c r="A33" s="108">
        <f t="shared" ref="A33:A70" si="12">A32+1</f>
        <v>2025</v>
      </c>
      <c r="B33" s="108">
        <f t="shared" si="3"/>
        <v>365</v>
      </c>
      <c r="C33" s="109">
        <f>IF(A33&lt;$D$20,0,IF(A33=$D$20,IF(A33=$D$21,$C$21,(DATE(A33,12,31)-$B$20)*$B$9/1000+$B$14*(DATE(A33,12,31)-$B$20)^2/2/1000),IF(A33=$D$21,($B$21-DATE(A33-1,12,31))*$B$11/1000-($B$21-DATE(A33-1,12,31))^2/2*$B$14/1000,IF(A33&gt;$D$21,0,(((DATE(A33,12,31)+DATE(A33-1,12,31)-2*$B$20)*$B$14/2+$B$9)*B33)/1000))))</f>
        <v>0</v>
      </c>
      <c r="D33" s="109">
        <f t="shared" si="0"/>
        <v>0</v>
      </c>
      <c r="E33" s="109">
        <f t="shared" si="4"/>
        <v>0</v>
      </c>
      <c r="F33" s="109">
        <f>$B$11/$B$15*(EXP(-$B$15*E32)-EXP(-$B$15*E33))/1000</f>
        <v>0</v>
      </c>
      <c r="G33" s="109">
        <f t="shared" si="1"/>
        <v>0</v>
      </c>
      <c r="H33" s="109">
        <f t="shared" si="5"/>
        <v>0</v>
      </c>
      <c r="I33" s="105"/>
      <c r="J33" s="109">
        <f>IF(AND(Input!$B$17=Lists!$Q$37,Input!$B$13="Oil"),0,G33*Input!$B$32/1000)</f>
        <v>0</v>
      </c>
      <c r="K33" s="109">
        <f t="shared" si="6"/>
        <v>0</v>
      </c>
      <c r="L33" s="105"/>
      <c r="M33" s="109">
        <f t="shared" si="7"/>
        <v>0</v>
      </c>
      <c r="N33" s="109">
        <f t="shared" si="8"/>
        <v>0</v>
      </c>
      <c r="O33" s="105"/>
      <c r="P33" s="109">
        <f>IF(Input!$B$13="Oil",MIN('Sched &amp; Prod Assumptions'!$C$19*'Sched &amp; Prod Assumptions'!$B$15*G33,J33),G33*'Sched &amp; Prod Assumptions'!$C$18)</f>
        <v>0</v>
      </c>
      <c r="Q33" s="109">
        <f>IF(Input!$B$13="Oil",IF(P33&lt;J33,0,Production!G33*'Sched &amp; Prod Assumptions'!$C$19-Production!P33/'Sched &amp; Prod Assumptions'!$C$17*Input!$B$31/1000),0)</f>
        <v>0</v>
      </c>
      <c r="R33" s="105"/>
      <c r="S33" s="109">
        <f t="shared" si="9"/>
        <v>0</v>
      </c>
      <c r="T33" s="391">
        <f>IF($S33=0,0,INDEX('Devel Overrides'!$O$28:$O$69,$S33+1,1)*$T$21+INDEX('Devel Overrides'!$O$28:$O$69,$S33,1)*$T$22)*'Sensitivity Ranges'!$F$41</f>
        <v>0</v>
      </c>
      <c r="U33" s="391">
        <f>IF($S33=0,0,INDEX('Devel Overrides'!$P$28:$P$69,$S33+1,1)*$T$21+INDEX('Devel Overrides'!$P$28:$P$69,$S33,1)*$T$22)*'Sensitivity Ranges'!$F$41</f>
        <v>0</v>
      </c>
      <c r="V33" s="391">
        <f>IF($S33=0,0,INDEX('Devel Overrides'!$Q$28:$Q$69,$S33+1,1)*$T$21+INDEX('Devel Overrides'!$Q$28:$Q$69,$S33,1)*$T$22)*'Sensitivity Ranges'!$F$41</f>
        <v>0</v>
      </c>
      <c r="W33" s="145"/>
      <c r="X33" s="109">
        <f>IF($T$20=1,T33,IF(Input!$B$13="Gas",G33,J33)-P33)</f>
        <v>0</v>
      </c>
      <c r="Y33" s="109">
        <f>IF($T$20=1,U33,IF(Input!$B$13="Gas",0,G33-Q33))</f>
        <v>0</v>
      </c>
      <c r="Z33" s="109">
        <f>IF($T$20=1,V33,IF(Input!$B$13="Gas",J33,0))</f>
        <v>0</v>
      </c>
      <c r="AA33" s="145"/>
      <c r="AB33" s="109">
        <f>X33*Abandonment!$H18</f>
        <v>0</v>
      </c>
      <c r="AC33" s="109">
        <f>Y33*Abandonment!$H18</f>
        <v>0</v>
      </c>
      <c r="AD33" s="109">
        <f>Z33*Abandonment!$H18</f>
        <v>0</v>
      </c>
      <c r="AE33" s="105"/>
      <c r="AF33" s="105"/>
      <c r="AG33" s="109">
        <f t="shared" ca="1" si="10"/>
        <v>0</v>
      </c>
      <c r="AH33" s="109">
        <f t="shared" ca="1" si="2"/>
        <v>0</v>
      </c>
      <c r="AI33" s="109">
        <f t="shared" ca="1" si="2"/>
        <v>0</v>
      </c>
      <c r="AJ33" s="105"/>
      <c r="AK33" s="109">
        <f>X33*Abandonment!H18</f>
        <v>0</v>
      </c>
      <c r="AL33" s="109">
        <f>Y33*Abandonment!H18</f>
        <v>0</v>
      </c>
      <c r="AM33" s="109">
        <f>Z33*Abandonment!H18</f>
        <v>0</v>
      </c>
      <c r="AN33" s="109">
        <f>AK33/'Sched &amp; Prod Assumptions'!$B$15+Production!AL33+AM33</f>
        <v>0</v>
      </c>
      <c r="AO33" s="109">
        <f t="shared" si="11"/>
        <v>0</v>
      </c>
      <c r="AP33" s="64"/>
      <c r="AQ33" s="64"/>
      <c r="AR33" s="64"/>
      <c r="AS33" s="64"/>
      <c r="AT33" s="64"/>
      <c r="AU33" s="64"/>
      <c r="AV33" s="64"/>
      <c r="AW33" s="64"/>
      <c r="AX33" s="64"/>
      <c r="AY33" s="64"/>
      <c r="AZ33" s="64"/>
      <c r="BA33" s="64"/>
      <c r="BB33" s="64"/>
      <c r="BC33" s="64"/>
      <c r="BD33" s="64"/>
      <c r="BE33" s="64"/>
      <c r="BF33" s="64"/>
      <c r="BG33" s="64"/>
      <c r="BH33" s="64"/>
      <c r="BI33" s="64"/>
      <c r="BJ33" s="64"/>
      <c r="BK33" s="64"/>
      <c r="BL33" s="64"/>
      <c r="BM33" s="64"/>
      <c r="BN33" s="64"/>
      <c r="BO33" s="64"/>
      <c r="BP33" s="64"/>
      <c r="BQ33" s="64"/>
    </row>
    <row r="34" spans="1:69">
      <c r="A34" s="108">
        <f t="shared" si="12"/>
        <v>2026</v>
      </c>
      <c r="B34" s="108">
        <f t="shared" si="3"/>
        <v>365</v>
      </c>
      <c r="C34" s="109">
        <f>IF(A34&lt;$D$20,0,IF(A34=$D$20,IF(A34=$D$21,$C$21,(DATE(A34,12,31)-$B$20)*$B$9/1000+$B$14*(DATE(A34,12,31)-$B$20)^2/2/1000),IF(A34=$D$21,($B$21-DATE(A34-1,12,31))*$B$11/1000-($B$21-DATE(A34-1,12,31))^2/2*$B$14/1000,IF(A34&gt;$D$21,0,(((DATE(A34,12,31)+DATE(A34-1,12,31)-2*$B$20)*$B$14/2+$B$9)*B34)/1000))))</f>
        <v>0</v>
      </c>
      <c r="D34" s="109">
        <f t="shared" si="0"/>
        <v>0</v>
      </c>
      <c r="E34" s="109">
        <f t="shared" si="4"/>
        <v>0</v>
      </c>
      <c r="F34" s="109">
        <f>$B$11/$B$15*(EXP(-$B$15*E33)-EXP(-$B$15*E34))/1000</f>
        <v>0</v>
      </c>
      <c r="G34" s="109">
        <f t="shared" si="1"/>
        <v>0</v>
      </c>
      <c r="H34" s="109">
        <f t="shared" si="5"/>
        <v>0</v>
      </c>
      <c r="I34" s="105"/>
      <c r="J34" s="109">
        <f>IF(AND(Input!$B$17=Lists!$Q$37,Input!$B$13="Oil"),0,G34*Input!$B$32/1000)</f>
        <v>0</v>
      </c>
      <c r="K34" s="109">
        <f t="shared" si="6"/>
        <v>0</v>
      </c>
      <c r="L34" s="105"/>
      <c r="M34" s="109">
        <f t="shared" si="7"/>
        <v>0</v>
      </c>
      <c r="N34" s="109">
        <f t="shared" si="8"/>
        <v>0</v>
      </c>
      <c r="O34" s="105"/>
      <c r="P34" s="109">
        <f>IF(Input!$B$13="Oil",MIN('Sched &amp; Prod Assumptions'!$C$19*'Sched &amp; Prod Assumptions'!$B$15*G34,J34),G34*'Sched &amp; Prod Assumptions'!$C$18)</f>
        <v>0</v>
      </c>
      <c r="Q34" s="109">
        <f>IF(Input!$B$13="Oil",IF(P34&lt;J34,0,Production!G34*'Sched &amp; Prod Assumptions'!$C$19-Production!P34/'Sched &amp; Prod Assumptions'!$C$17*Input!$B$31/1000),0)</f>
        <v>0</v>
      </c>
      <c r="R34" s="105"/>
      <c r="S34" s="109">
        <f t="shared" si="9"/>
        <v>0</v>
      </c>
      <c r="T34" s="391">
        <f>IF($S34=0,0,INDEX('Devel Overrides'!$O$28:$O$69,$S34+1,1)*$T$21+INDEX('Devel Overrides'!$O$28:$O$69,$S34,1)*$T$22)*'Sensitivity Ranges'!$F$41</f>
        <v>0</v>
      </c>
      <c r="U34" s="391">
        <f>IF($S34=0,0,INDEX('Devel Overrides'!$P$28:$P$69,$S34+1,1)*$T$21+INDEX('Devel Overrides'!$P$28:$P$69,$S34,1)*$T$22)*'Sensitivity Ranges'!$F$41</f>
        <v>0</v>
      </c>
      <c r="V34" s="391">
        <f>IF($S34=0,0,INDEX('Devel Overrides'!$Q$28:$Q$69,$S34+1,1)*$T$21+INDEX('Devel Overrides'!$Q$28:$Q$69,$S34,1)*$T$22)*'Sensitivity Ranges'!$F$41</f>
        <v>0</v>
      </c>
      <c r="W34" s="145"/>
      <c r="X34" s="109">
        <f>IF($T$20=1,T34,IF(Input!$B$13="Gas",G34,J34)-P34)</f>
        <v>0</v>
      </c>
      <c r="Y34" s="109">
        <f>IF($T$20=1,U34,IF(Input!$B$13="Gas",0,G34-Q34))</f>
        <v>0</v>
      </c>
      <c r="Z34" s="109">
        <f>IF($T$20=1,V34,IF(Input!$B$13="Gas",J34,0))</f>
        <v>0</v>
      </c>
      <c r="AA34" s="145"/>
      <c r="AB34" s="109">
        <f>X34*Abandonment!$H19</f>
        <v>0</v>
      </c>
      <c r="AC34" s="109">
        <f>Y34*Abandonment!$H19</f>
        <v>0</v>
      </c>
      <c r="AD34" s="109">
        <f>Z34*Abandonment!$H19</f>
        <v>0</v>
      </c>
      <c r="AE34" s="105"/>
      <c r="AF34" s="105"/>
      <c r="AG34" s="109">
        <f t="shared" ca="1" si="10"/>
        <v>0</v>
      </c>
      <c r="AH34" s="109">
        <f t="shared" ca="1" si="2"/>
        <v>0</v>
      </c>
      <c r="AI34" s="109">
        <f t="shared" ca="1" si="2"/>
        <v>0</v>
      </c>
      <c r="AJ34" s="105"/>
      <c r="AK34" s="109">
        <f>X34*Abandonment!H19</f>
        <v>0</v>
      </c>
      <c r="AL34" s="109">
        <f>Y34*Abandonment!H19</f>
        <v>0</v>
      </c>
      <c r="AM34" s="109">
        <f>Z34*Abandonment!H19</f>
        <v>0</v>
      </c>
      <c r="AN34" s="109">
        <f>AK34/'Sched &amp; Prod Assumptions'!$B$15+Production!AL34+AM34</f>
        <v>0</v>
      </c>
      <c r="AO34" s="109">
        <f t="shared" si="11"/>
        <v>0</v>
      </c>
      <c r="AP34" s="64"/>
      <c r="AQ34" s="64"/>
      <c r="AR34" s="64"/>
      <c r="AS34" s="64"/>
      <c r="AT34" s="64"/>
      <c r="AU34" s="64"/>
      <c r="AV34" s="64"/>
      <c r="AW34" s="64"/>
      <c r="AX34" s="64"/>
      <c r="AY34" s="64"/>
      <c r="AZ34" s="64"/>
      <c r="BA34" s="64"/>
      <c r="BB34" s="64"/>
      <c r="BC34" s="64"/>
      <c r="BD34" s="64"/>
      <c r="BE34" s="64"/>
      <c r="BF34" s="64"/>
      <c r="BG34" s="64"/>
      <c r="BH34" s="64"/>
      <c r="BI34" s="64"/>
      <c r="BJ34" s="64"/>
      <c r="BK34" s="64"/>
      <c r="BL34" s="64"/>
      <c r="BM34" s="64"/>
      <c r="BN34" s="64"/>
      <c r="BO34" s="64"/>
      <c r="BP34" s="64"/>
      <c r="BQ34" s="64"/>
    </row>
    <row r="35" spans="1:69">
      <c r="A35" s="108">
        <f t="shared" si="12"/>
        <v>2027</v>
      </c>
      <c r="B35" s="108">
        <f t="shared" si="3"/>
        <v>365</v>
      </c>
      <c r="C35" s="109">
        <f t="shared" ref="C35:C70" si="13">IF(A35&lt;$D$20,0,IF(A35=$D$20,IF(A35=$D$21,$C$21,(DATE(A35,12,31)-$B$20)*$B$9/1000+$B$14*(DATE(A35,12,31)-$B$20)^2/2/1000),IF(A35=$D$21,($B$21-DATE(A35-1,12,31))*$B$11/1000-($B$21-DATE(A35-1,12,31))^2/2*$B$14/1000,IF(A35&gt;$D$21,0,(((DATE(A35,12,31)+DATE(A35-1,12,31)-2*$B$20)*$B$14/2+$B$9)*B35)/1000))))</f>
        <v>0</v>
      </c>
      <c r="D35" s="109">
        <f t="shared" si="0"/>
        <v>0</v>
      </c>
      <c r="E35" s="109">
        <f t="shared" si="4"/>
        <v>0</v>
      </c>
      <c r="F35" s="109">
        <f t="shared" ref="F35:F70" si="14">$B$11/$B$15*(EXP(-$B$15*E34)-EXP(-$B$15*E35))/1000</f>
        <v>0</v>
      </c>
      <c r="G35" s="109">
        <f t="shared" si="1"/>
        <v>0</v>
      </c>
      <c r="H35" s="109">
        <f t="shared" si="5"/>
        <v>0</v>
      </c>
      <c r="I35" s="105"/>
      <c r="J35" s="109">
        <f>IF(AND(Input!$B$17=Lists!$Q$37,Input!$B$13="Oil"),0,G35*Input!$B$32/1000)</f>
        <v>0</v>
      </c>
      <c r="K35" s="109">
        <f t="shared" si="6"/>
        <v>0</v>
      </c>
      <c r="L35" s="105"/>
      <c r="M35" s="109">
        <f t="shared" si="7"/>
        <v>0</v>
      </c>
      <c r="N35" s="109">
        <f t="shared" si="8"/>
        <v>0</v>
      </c>
      <c r="O35" s="105"/>
      <c r="P35" s="109">
        <f>IF(Input!$B$13="Oil",MIN('Sched &amp; Prod Assumptions'!$C$19*'Sched &amp; Prod Assumptions'!$B$15*G35,J35),G35*'Sched &amp; Prod Assumptions'!$C$18)</f>
        <v>0</v>
      </c>
      <c r="Q35" s="109">
        <f>IF(Input!$B$13="Oil",IF(P35&lt;J35,0,Production!G35*'Sched &amp; Prod Assumptions'!$C$19-Production!P35/'Sched &amp; Prod Assumptions'!$C$17*Input!$B$31/1000),0)</f>
        <v>0</v>
      </c>
      <c r="R35" s="105"/>
      <c r="S35" s="109">
        <f t="shared" si="9"/>
        <v>0</v>
      </c>
      <c r="T35" s="391">
        <f>IF($S35=0,0,INDEX('Devel Overrides'!$O$28:$O$69,$S35+1,1)*$T$21+INDEX('Devel Overrides'!$O$28:$O$69,$S35,1)*$T$22)*'Sensitivity Ranges'!$F$41</f>
        <v>0</v>
      </c>
      <c r="U35" s="391">
        <f>IF($S35=0,0,INDEX('Devel Overrides'!$P$28:$P$69,$S35+1,1)*$T$21+INDEX('Devel Overrides'!$P$28:$P$69,$S35,1)*$T$22)*'Sensitivity Ranges'!$F$41</f>
        <v>0</v>
      </c>
      <c r="V35" s="391">
        <f>IF($S35=0,0,INDEX('Devel Overrides'!$Q$28:$Q$69,$S35+1,1)*$T$21+INDEX('Devel Overrides'!$Q$28:$Q$69,$S35,1)*$T$22)*'Sensitivity Ranges'!$F$41</f>
        <v>0</v>
      </c>
      <c r="W35" s="145"/>
      <c r="X35" s="109">
        <f>IF($T$20=1,T35,IF(Input!$B$13="Gas",G35,J35)-P35)</f>
        <v>0</v>
      </c>
      <c r="Y35" s="109">
        <f>IF($T$20=1,U35,IF(Input!$B$13="Gas",0,G35-Q35))</f>
        <v>0</v>
      </c>
      <c r="Z35" s="109">
        <f>IF($T$20=1,V35,IF(Input!$B$13="Gas",J35,0))</f>
        <v>0</v>
      </c>
      <c r="AA35" s="145"/>
      <c r="AB35" s="109">
        <f>X35*Abandonment!$H20</f>
        <v>0</v>
      </c>
      <c r="AC35" s="109">
        <f>Y35*Abandonment!$H20</f>
        <v>0</v>
      </c>
      <c r="AD35" s="109">
        <f>Z35*Abandonment!$H20</f>
        <v>0</v>
      </c>
      <c r="AE35" s="105"/>
      <c r="AF35" s="105"/>
      <c r="AG35" s="109">
        <f t="shared" ca="1" si="10"/>
        <v>0</v>
      </c>
      <c r="AH35" s="109">
        <f t="shared" ca="1" si="2"/>
        <v>0</v>
      </c>
      <c r="AI35" s="109">
        <f t="shared" ca="1" si="2"/>
        <v>0</v>
      </c>
      <c r="AJ35" s="105"/>
      <c r="AK35" s="109">
        <f>X35*Abandonment!H20</f>
        <v>0</v>
      </c>
      <c r="AL35" s="109">
        <f>Y35*Abandonment!H20</f>
        <v>0</v>
      </c>
      <c r="AM35" s="109">
        <f>Z35*Abandonment!H20</f>
        <v>0</v>
      </c>
      <c r="AN35" s="109">
        <f>AK35/'Sched &amp; Prod Assumptions'!$B$15+Production!AL35+AM35</f>
        <v>0</v>
      </c>
      <c r="AO35" s="109">
        <f t="shared" si="11"/>
        <v>0</v>
      </c>
      <c r="AP35" s="64"/>
      <c r="AQ35" s="64"/>
      <c r="AR35" s="64"/>
      <c r="AS35" s="64"/>
      <c r="AT35" s="64"/>
      <c r="AU35" s="64"/>
      <c r="AV35" s="64"/>
      <c r="AW35" s="64"/>
      <c r="AX35" s="64"/>
      <c r="AY35" s="64"/>
      <c r="AZ35" s="64"/>
      <c r="BA35" s="64"/>
      <c r="BB35" s="64"/>
      <c r="BC35" s="64"/>
      <c r="BD35" s="64"/>
      <c r="BE35" s="64"/>
      <c r="BF35" s="64"/>
      <c r="BG35" s="64"/>
      <c r="BH35" s="64"/>
      <c r="BI35" s="64"/>
      <c r="BJ35" s="64"/>
      <c r="BK35" s="64"/>
      <c r="BL35" s="64"/>
      <c r="BM35" s="64"/>
      <c r="BN35" s="64"/>
      <c r="BO35" s="64"/>
      <c r="BP35" s="64"/>
      <c r="BQ35" s="64"/>
    </row>
    <row r="36" spans="1:69">
      <c r="A36" s="108">
        <f t="shared" si="12"/>
        <v>2028</v>
      </c>
      <c r="B36" s="108">
        <f t="shared" si="3"/>
        <v>366</v>
      </c>
      <c r="C36" s="109">
        <f t="shared" si="13"/>
        <v>0</v>
      </c>
      <c r="D36" s="109">
        <f t="shared" si="0"/>
        <v>0</v>
      </c>
      <c r="E36" s="109">
        <f t="shared" si="4"/>
        <v>0</v>
      </c>
      <c r="F36" s="109">
        <f t="shared" si="14"/>
        <v>0</v>
      </c>
      <c r="G36" s="109">
        <f t="shared" si="1"/>
        <v>0</v>
      </c>
      <c r="H36" s="109">
        <f t="shared" si="5"/>
        <v>0</v>
      </c>
      <c r="I36" s="105"/>
      <c r="J36" s="109">
        <f>IF(AND(Input!$B$17=Lists!$Q$37,Input!$B$13="Oil"),0,G36*Input!$B$32/1000)</f>
        <v>0</v>
      </c>
      <c r="K36" s="109">
        <f t="shared" si="6"/>
        <v>0</v>
      </c>
      <c r="L36" s="105"/>
      <c r="M36" s="109">
        <f t="shared" si="7"/>
        <v>0</v>
      </c>
      <c r="N36" s="109">
        <f t="shared" si="8"/>
        <v>0</v>
      </c>
      <c r="O36" s="105"/>
      <c r="P36" s="109">
        <f>IF(Input!$B$13="Oil",MIN('Sched &amp; Prod Assumptions'!$C$19*'Sched &amp; Prod Assumptions'!$B$15*G36,J36),G36*'Sched &amp; Prod Assumptions'!$C$18)</f>
        <v>0</v>
      </c>
      <c r="Q36" s="109">
        <f>IF(Input!$B$13="Oil",IF(P36&lt;J36,0,Production!G36*'Sched &amp; Prod Assumptions'!$C$19-Production!P36/'Sched &amp; Prod Assumptions'!$C$17*Input!$B$31/1000),0)</f>
        <v>0</v>
      </c>
      <c r="R36" s="105"/>
      <c r="S36" s="109">
        <f t="shared" si="9"/>
        <v>0</v>
      </c>
      <c r="T36" s="391">
        <f>IF($S36=0,0,INDEX('Devel Overrides'!$O$28:$O$69,$S36+1,1)*$T$21+INDEX('Devel Overrides'!$O$28:$O$69,$S36,1)*$T$22)*'Sensitivity Ranges'!$F$41</f>
        <v>0</v>
      </c>
      <c r="U36" s="391">
        <f>IF($S36=0,0,INDEX('Devel Overrides'!$P$28:$P$69,$S36+1,1)*$T$21+INDEX('Devel Overrides'!$P$28:$P$69,$S36,1)*$T$22)*'Sensitivity Ranges'!$F$41</f>
        <v>0</v>
      </c>
      <c r="V36" s="391">
        <f>IF($S36=0,0,INDEX('Devel Overrides'!$Q$28:$Q$69,$S36+1,1)*$T$21+INDEX('Devel Overrides'!$Q$28:$Q$69,$S36,1)*$T$22)*'Sensitivity Ranges'!$F$41</f>
        <v>0</v>
      </c>
      <c r="W36" s="145"/>
      <c r="X36" s="109">
        <f>IF($T$20=1,T36,IF(Input!$B$13="Gas",G36,J36)-P36)</f>
        <v>0</v>
      </c>
      <c r="Y36" s="109">
        <f>IF($T$20=1,U36,IF(Input!$B$13="Gas",0,G36-Q36))</f>
        <v>0</v>
      </c>
      <c r="Z36" s="109">
        <f>IF($T$20=1,V36,IF(Input!$B$13="Gas",J36,0))</f>
        <v>0</v>
      </c>
      <c r="AA36" s="145"/>
      <c r="AB36" s="109">
        <f>X36*Abandonment!$H21</f>
        <v>0</v>
      </c>
      <c r="AC36" s="109">
        <f>Y36*Abandonment!$H21</f>
        <v>0</v>
      </c>
      <c r="AD36" s="109">
        <f>Z36*Abandonment!$H21</f>
        <v>0</v>
      </c>
      <c r="AE36" s="105"/>
      <c r="AF36" s="105"/>
      <c r="AG36" s="109">
        <f t="shared" ca="1" si="10"/>
        <v>0</v>
      </c>
      <c r="AH36" s="109">
        <f t="shared" ca="1" si="2"/>
        <v>0</v>
      </c>
      <c r="AI36" s="109">
        <f t="shared" ca="1" si="2"/>
        <v>0</v>
      </c>
      <c r="AJ36" s="105"/>
      <c r="AK36" s="109">
        <f>X36*Abandonment!H21</f>
        <v>0</v>
      </c>
      <c r="AL36" s="109">
        <f>Y36*Abandonment!H21</f>
        <v>0</v>
      </c>
      <c r="AM36" s="109">
        <f>Z36*Abandonment!H21</f>
        <v>0</v>
      </c>
      <c r="AN36" s="109">
        <f>AK36/'Sched &amp; Prod Assumptions'!$B$15+Production!AL36+AM36</f>
        <v>0</v>
      </c>
      <c r="AO36" s="109">
        <f t="shared" si="11"/>
        <v>0</v>
      </c>
      <c r="AP36" s="64"/>
      <c r="AQ36" s="64"/>
      <c r="AR36" s="64"/>
      <c r="AS36" s="64"/>
      <c r="AT36" s="64"/>
      <c r="AU36" s="64"/>
      <c r="AV36" s="64"/>
      <c r="AW36" s="64"/>
      <c r="AX36" s="64"/>
      <c r="AY36" s="64"/>
      <c r="AZ36" s="64"/>
      <c r="BA36" s="64"/>
      <c r="BB36" s="64"/>
      <c r="BC36" s="64"/>
      <c r="BD36" s="64"/>
      <c r="BE36" s="64"/>
      <c r="BF36" s="64"/>
      <c r="BG36" s="64"/>
      <c r="BH36" s="64"/>
      <c r="BI36" s="64"/>
      <c r="BJ36" s="64"/>
      <c r="BK36" s="64"/>
      <c r="BL36" s="64"/>
      <c r="BM36" s="64"/>
      <c r="BN36" s="64"/>
      <c r="BO36" s="64"/>
      <c r="BP36" s="64"/>
      <c r="BQ36" s="64"/>
    </row>
    <row r="37" spans="1:69">
      <c r="A37" s="108">
        <f t="shared" si="12"/>
        <v>2029</v>
      </c>
      <c r="B37" s="108">
        <f t="shared" si="3"/>
        <v>365</v>
      </c>
      <c r="C37" s="109">
        <f t="shared" si="13"/>
        <v>0</v>
      </c>
      <c r="D37" s="109">
        <f t="shared" si="0"/>
        <v>0</v>
      </c>
      <c r="E37" s="109">
        <f t="shared" si="4"/>
        <v>0</v>
      </c>
      <c r="F37" s="109">
        <f t="shared" si="14"/>
        <v>0</v>
      </c>
      <c r="G37" s="109">
        <f t="shared" si="1"/>
        <v>0</v>
      </c>
      <c r="H37" s="109">
        <f t="shared" si="5"/>
        <v>0</v>
      </c>
      <c r="I37" s="105"/>
      <c r="J37" s="109">
        <f>IF(AND(Input!$B$17=Lists!$Q$37,Input!$B$13="Oil"),0,G37*Input!$B$32/1000)</f>
        <v>0</v>
      </c>
      <c r="K37" s="109">
        <f t="shared" si="6"/>
        <v>0</v>
      </c>
      <c r="L37" s="105"/>
      <c r="M37" s="109">
        <f t="shared" si="7"/>
        <v>0</v>
      </c>
      <c r="N37" s="109">
        <f t="shared" si="8"/>
        <v>0</v>
      </c>
      <c r="O37" s="105"/>
      <c r="P37" s="109">
        <f>IF(Input!$B$13="Oil",MIN('Sched &amp; Prod Assumptions'!$C$19*'Sched &amp; Prod Assumptions'!$B$15*G37,J37),G37*'Sched &amp; Prod Assumptions'!$C$18)</f>
        <v>0</v>
      </c>
      <c r="Q37" s="109">
        <f>IF(Input!$B$13="Oil",IF(P37&lt;J37,0,Production!G37*'Sched &amp; Prod Assumptions'!$C$19-Production!P37/'Sched &amp; Prod Assumptions'!$C$17*Input!$B$31/1000),0)</f>
        <v>0</v>
      </c>
      <c r="R37" s="105"/>
      <c r="S37" s="109">
        <f t="shared" si="9"/>
        <v>1</v>
      </c>
      <c r="T37" s="391">
        <f>IF($S37=0,0,INDEX('Devel Overrides'!$O$28:$O$69,$S37+1,1)*$T$21+INDEX('Devel Overrides'!$O$28:$O$69,$S37,1)*$T$22)*'Sensitivity Ranges'!$F$41</f>
        <v>0</v>
      </c>
      <c r="U37" s="391">
        <f>IF($S37=0,0,INDEX('Devel Overrides'!$P$28:$P$69,$S37+1,1)*$T$21+INDEX('Devel Overrides'!$P$28:$P$69,$S37,1)*$T$22)*'Sensitivity Ranges'!$F$41</f>
        <v>0</v>
      </c>
      <c r="V37" s="391">
        <f>IF($S37=0,0,INDEX('Devel Overrides'!$Q$28:$Q$69,$S37+1,1)*$T$21+INDEX('Devel Overrides'!$Q$28:$Q$69,$S37,1)*$T$22)*'Sensitivity Ranges'!$F$41</f>
        <v>0</v>
      </c>
      <c r="W37" s="145"/>
      <c r="X37" s="109">
        <f>IF($T$20=1,T37,IF(Input!$B$13="Gas",G37,J37)-P37)</f>
        <v>0</v>
      </c>
      <c r="Y37" s="109">
        <f>IF($T$20=1,U37,IF(Input!$B$13="Gas",0,G37-Q37))</f>
        <v>0</v>
      </c>
      <c r="Z37" s="109">
        <f>IF($T$20=1,V37,IF(Input!$B$13="Gas",J37,0))</f>
        <v>0</v>
      </c>
      <c r="AA37" s="145"/>
      <c r="AB37" s="109">
        <f>X37*Abandonment!$H22</f>
        <v>0</v>
      </c>
      <c r="AC37" s="109">
        <f>Y37*Abandonment!$H22</f>
        <v>0</v>
      </c>
      <c r="AD37" s="109">
        <f>Z37*Abandonment!$H22</f>
        <v>0</v>
      </c>
      <c r="AE37" s="105"/>
      <c r="AF37" s="105"/>
      <c r="AG37" s="109">
        <f t="shared" ca="1" si="10"/>
        <v>0</v>
      </c>
      <c r="AH37" s="109">
        <f t="shared" ca="1" si="2"/>
        <v>0</v>
      </c>
      <c r="AI37" s="109">
        <f t="shared" ca="1" si="2"/>
        <v>0</v>
      </c>
      <c r="AJ37" s="105"/>
      <c r="AK37" s="109">
        <f>X37*Abandonment!H22</f>
        <v>0</v>
      </c>
      <c r="AL37" s="109">
        <f>Y37*Abandonment!H22</f>
        <v>0</v>
      </c>
      <c r="AM37" s="109">
        <f>Z37*Abandonment!H22</f>
        <v>0</v>
      </c>
      <c r="AN37" s="109">
        <f>AK37/'Sched &amp; Prod Assumptions'!$B$15+Production!AL37+AM37</f>
        <v>0</v>
      </c>
      <c r="AO37" s="109">
        <f t="shared" si="11"/>
        <v>0</v>
      </c>
      <c r="AP37" s="64"/>
      <c r="AQ37" s="64"/>
      <c r="AR37" s="64"/>
      <c r="AS37" s="64"/>
      <c r="AT37" s="64"/>
      <c r="AU37" s="64"/>
      <c r="AV37" s="64"/>
      <c r="AW37" s="64"/>
      <c r="AX37" s="64"/>
      <c r="AY37" s="64"/>
      <c r="AZ37" s="64"/>
      <c r="BA37" s="64"/>
      <c r="BB37" s="64"/>
      <c r="BC37" s="64"/>
      <c r="BD37" s="64"/>
      <c r="BE37" s="64"/>
      <c r="BF37" s="64"/>
      <c r="BG37" s="64"/>
      <c r="BH37" s="64"/>
      <c r="BI37" s="64"/>
      <c r="BJ37" s="64"/>
      <c r="BK37" s="64"/>
      <c r="BL37" s="64"/>
      <c r="BM37" s="64"/>
      <c r="BN37" s="64"/>
      <c r="BO37" s="64"/>
      <c r="BP37" s="64"/>
      <c r="BQ37" s="64"/>
    </row>
    <row r="38" spans="1:69">
      <c r="A38" s="108">
        <f t="shared" si="12"/>
        <v>2030</v>
      </c>
      <c r="B38" s="108">
        <f t="shared" si="3"/>
        <v>365</v>
      </c>
      <c r="C38" s="109">
        <f t="shared" si="13"/>
        <v>0</v>
      </c>
      <c r="D38" s="109">
        <f t="shared" si="0"/>
        <v>0</v>
      </c>
      <c r="E38" s="109">
        <f t="shared" si="4"/>
        <v>0</v>
      </c>
      <c r="F38" s="109">
        <f t="shared" si="14"/>
        <v>0</v>
      </c>
      <c r="G38" s="109">
        <f t="shared" si="1"/>
        <v>0</v>
      </c>
      <c r="H38" s="109">
        <f t="shared" si="5"/>
        <v>0</v>
      </c>
      <c r="I38" s="105"/>
      <c r="J38" s="109">
        <f>IF(AND(Input!$B$17=Lists!$Q$37,Input!$B$13="Oil"),0,G38*Input!$B$32/1000)</f>
        <v>0</v>
      </c>
      <c r="K38" s="109">
        <f t="shared" si="6"/>
        <v>0</v>
      </c>
      <c r="L38" s="105"/>
      <c r="M38" s="109">
        <f t="shared" si="7"/>
        <v>0</v>
      </c>
      <c r="N38" s="109">
        <f t="shared" si="8"/>
        <v>0</v>
      </c>
      <c r="O38" s="105"/>
      <c r="P38" s="109">
        <f>IF(Input!$B$13="Oil",MIN('Sched &amp; Prod Assumptions'!$C$19*'Sched &amp; Prod Assumptions'!$B$15*G38,J38),G38*'Sched &amp; Prod Assumptions'!$C$18)</f>
        <v>0</v>
      </c>
      <c r="Q38" s="109">
        <f>IF(Input!$B$13="Oil",IF(P38&lt;J38,0,Production!G38*'Sched &amp; Prod Assumptions'!$C$19-Production!P38/'Sched &amp; Prod Assumptions'!$C$17*Input!$B$31/1000),0)</f>
        <v>0</v>
      </c>
      <c r="R38" s="105"/>
      <c r="S38" s="109">
        <f t="shared" si="9"/>
        <v>2</v>
      </c>
      <c r="T38" s="391">
        <f>IF($S38=0,0,INDEX('Devel Overrides'!$O$28:$O$69,$S38+1,1)*$T$21+INDEX('Devel Overrides'!$O$28:$O$69,$S38,1)*$T$22)*'Sensitivity Ranges'!$F$41</f>
        <v>0</v>
      </c>
      <c r="U38" s="391">
        <f>IF($S38=0,0,INDEX('Devel Overrides'!$P$28:$P$69,$S38+1,1)*$T$21+INDEX('Devel Overrides'!$P$28:$P$69,$S38,1)*$T$22)*'Sensitivity Ranges'!$F$41</f>
        <v>0</v>
      </c>
      <c r="V38" s="391">
        <f>IF($S38=0,0,INDEX('Devel Overrides'!$Q$28:$Q$69,$S38+1,1)*$T$21+INDEX('Devel Overrides'!$Q$28:$Q$69,$S38,1)*$T$22)*'Sensitivity Ranges'!$F$41</f>
        <v>0</v>
      </c>
      <c r="W38" s="145"/>
      <c r="X38" s="109">
        <f>IF($T$20=1,T38,IF(Input!$B$13="Gas",G38,J38)-P38)</f>
        <v>0</v>
      </c>
      <c r="Y38" s="109">
        <f>IF($T$20=1,U38,IF(Input!$B$13="Gas",0,G38-Q38))</f>
        <v>0</v>
      </c>
      <c r="Z38" s="109">
        <f>IF($T$20=1,V38,IF(Input!$B$13="Gas",J38,0))</f>
        <v>0</v>
      </c>
      <c r="AA38" s="145"/>
      <c r="AB38" s="109">
        <f>X38*Abandonment!$H23</f>
        <v>0</v>
      </c>
      <c r="AC38" s="109">
        <f>Y38*Abandonment!$H23</f>
        <v>0</v>
      </c>
      <c r="AD38" s="109">
        <f>Z38*Abandonment!$H23</f>
        <v>0</v>
      </c>
      <c r="AE38" s="105"/>
      <c r="AF38" s="105"/>
      <c r="AG38" s="109">
        <f t="shared" ca="1" si="10"/>
        <v>0</v>
      </c>
      <c r="AH38" s="109">
        <f t="shared" ca="1" si="2"/>
        <v>0</v>
      </c>
      <c r="AI38" s="109">
        <f t="shared" ca="1" si="2"/>
        <v>0</v>
      </c>
      <c r="AJ38" s="105"/>
      <c r="AK38" s="109">
        <f>X38*Abandonment!H23</f>
        <v>0</v>
      </c>
      <c r="AL38" s="109">
        <f>Y38*Abandonment!H23</f>
        <v>0</v>
      </c>
      <c r="AM38" s="109">
        <f>Z38*Abandonment!H23</f>
        <v>0</v>
      </c>
      <c r="AN38" s="109">
        <f>AK38/'Sched &amp; Prod Assumptions'!$B$15+Production!AL38+AM38</f>
        <v>0</v>
      </c>
      <c r="AO38" s="109">
        <f t="shared" si="11"/>
        <v>0</v>
      </c>
      <c r="AP38" s="64"/>
      <c r="AQ38" s="64"/>
      <c r="AR38" s="64"/>
      <c r="AS38" s="64"/>
      <c r="AT38" s="64"/>
      <c r="AU38" s="64"/>
      <c r="AV38" s="64"/>
      <c r="AW38" s="64"/>
      <c r="AX38" s="64"/>
      <c r="AY38" s="64"/>
      <c r="AZ38" s="64"/>
      <c r="BA38" s="64"/>
      <c r="BB38" s="64"/>
      <c r="BC38" s="64"/>
      <c r="BD38" s="64"/>
      <c r="BE38" s="64"/>
      <c r="BF38" s="64"/>
      <c r="BG38" s="64"/>
      <c r="BH38" s="64"/>
      <c r="BI38" s="64"/>
      <c r="BJ38" s="64"/>
      <c r="BK38" s="64"/>
      <c r="BL38" s="64"/>
      <c r="BM38" s="64"/>
      <c r="BN38" s="64"/>
      <c r="BO38" s="64"/>
      <c r="BP38" s="64"/>
      <c r="BQ38" s="64"/>
    </row>
    <row r="39" spans="1:69">
      <c r="A39" s="108">
        <f t="shared" si="12"/>
        <v>2031</v>
      </c>
      <c r="B39" s="108">
        <f t="shared" si="3"/>
        <v>365</v>
      </c>
      <c r="C39" s="109">
        <f t="shared" si="13"/>
        <v>3.7705675146771029</v>
      </c>
      <c r="D39" s="109">
        <f t="shared" si="0"/>
        <v>13.157260273972488</v>
      </c>
      <c r="E39" s="109">
        <f t="shared" si="4"/>
        <v>0</v>
      </c>
      <c r="F39" s="109">
        <f t="shared" si="14"/>
        <v>0</v>
      </c>
      <c r="G39" s="109">
        <f t="shared" si="1"/>
        <v>16.927827788649591</v>
      </c>
      <c r="H39" s="109">
        <f t="shared" si="5"/>
        <v>74.901892870130936</v>
      </c>
      <c r="I39" s="105"/>
      <c r="J39" s="109">
        <f>IF(AND(Input!$B$17=Lists!$Q$37,Input!$B$13="Oil"),0,G39*Input!$B$32/1000)</f>
        <v>56.425528367905684</v>
      </c>
      <c r="K39" s="109">
        <f t="shared" si="6"/>
        <v>249.67047950400746</v>
      </c>
      <c r="L39" s="105"/>
      <c r="M39" s="109">
        <f t="shared" si="7"/>
        <v>226</v>
      </c>
      <c r="N39" s="109">
        <f t="shared" si="8"/>
        <v>0.61917808219178083</v>
      </c>
      <c r="O39" s="105"/>
      <c r="P39" s="109">
        <f>IF(Input!$B$13="Oil",MIN('Sched &amp; Prod Assumptions'!$C$19*'Sched &amp; Prod Assumptions'!$B$15*G39,J39),G39*'Sched &amp; Prod Assumptions'!$C$18)</f>
        <v>2.437607201565541</v>
      </c>
      <c r="Q39" s="109">
        <f>IF(Input!$B$13="Oil",IF(P39&lt;J39,0,Production!G39*'Sched &amp; Prod Assumptions'!$C$19-Production!P39/'Sched &amp; Prod Assumptions'!$C$17*Input!$B$31/1000),0)</f>
        <v>0</v>
      </c>
      <c r="R39" s="105"/>
      <c r="S39" s="109">
        <f t="shared" si="9"/>
        <v>3</v>
      </c>
      <c r="T39" s="391">
        <f>IF($S39=0,0,INDEX('Devel Overrides'!$O$28:$O$69,$S39+1,1)*$T$21+INDEX('Devel Overrides'!$O$28:$O$69,$S39,1)*$T$22)*'Sensitivity Ranges'!$F$41</f>
        <v>0</v>
      </c>
      <c r="U39" s="391">
        <f>IF($S39=0,0,INDEX('Devel Overrides'!$P$28:$P$69,$S39+1,1)*$T$21+INDEX('Devel Overrides'!$P$28:$P$69,$S39,1)*$T$22)*'Sensitivity Ranges'!$F$41</f>
        <v>0</v>
      </c>
      <c r="V39" s="391">
        <f>IF($S39=0,0,INDEX('Devel Overrides'!$Q$28:$Q$69,$S39+1,1)*$T$21+INDEX('Devel Overrides'!$Q$28:$Q$69,$S39,1)*$T$22)*'Sensitivity Ranges'!$F$41</f>
        <v>0</v>
      </c>
      <c r="W39" s="145"/>
      <c r="X39" s="109">
        <f>IF($T$20=1,T39,IF(Input!$B$13="Gas",G39,J39)-P39)</f>
        <v>53.987921166340143</v>
      </c>
      <c r="Y39" s="109">
        <f>IF($T$20=1,U39,IF(Input!$B$13="Gas",0,G39-Q39))</f>
        <v>16.927827788649591</v>
      </c>
      <c r="Z39" s="109">
        <f>IF($T$20=1,V39,IF(Input!$B$13="Gas",J39,0))</f>
        <v>0</v>
      </c>
      <c r="AA39" s="145"/>
      <c r="AB39" s="109">
        <f>X39*Abandonment!$H24</f>
        <v>53.987921166340143</v>
      </c>
      <c r="AC39" s="109">
        <f>Y39*Abandonment!$H24</f>
        <v>16.927827788649591</v>
      </c>
      <c r="AD39" s="109">
        <f>Z39*Abandonment!$H24</f>
        <v>0</v>
      </c>
      <c r="AE39" s="105"/>
      <c r="AF39" s="105"/>
      <c r="AG39" s="109">
        <f t="shared" ca="1" si="10"/>
        <v>53.987921166340143</v>
      </c>
      <c r="AH39" s="109">
        <f t="shared" ca="1" si="2"/>
        <v>16.927827788649591</v>
      </c>
      <c r="AI39" s="109">
        <f t="shared" ca="1" si="2"/>
        <v>0</v>
      </c>
      <c r="AJ39" s="105"/>
      <c r="AK39" s="109">
        <f>X39*Abandonment!H24</f>
        <v>53.987921166340143</v>
      </c>
      <c r="AL39" s="109">
        <f>Y39*Abandonment!H24</f>
        <v>16.927827788649591</v>
      </c>
      <c r="AM39" s="109">
        <f>Z39*Abandonment!H24</f>
        <v>0</v>
      </c>
      <c r="AN39" s="109">
        <f>AK39/'Sched &amp; Prod Assumptions'!$B$15+Production!AL39+AM39</f>
        <v>28.175311364970455</v>
      </c>
      <c r="AO39" s="109">
        <f t="shared" si="11"/>
        <v>77.19263387663139</v>
      </c>
      <c r="AP39" s="64"/>
      <c r="AQ39" s="64"/>
      <c r="AR39" s="64"/>
      <c r="AS39" s="64"/>
      <c r="AT39" s="64"/>
      <c r="AU39" s="64"/>
      <c r="AV39" s="64"/>
      <c r="AW39" s="64"/>
      <c r="AX39" s="64"/>
      <c r="AY39" s="64"/>
      <c r="AZ39" s="64"/>
      <c r="BA39" s="64"/>
      <c r="BB39" s="64"/>
      <c r="BC39" s="64"/>
      <c r="BD39" s="64"/>
      <c r="BE39" s="64"/>
      <c r="BF39" s="64"/>
      <c r="BG39" s="64"/>
      <c r="BH39" s="64"/>
      <c r="BI39" s="64"/>
      <c r="BJ39" s="64"/>
      <c r="BK39" s="64"/>
      <c r="BL39" s="64"/>
      <c r="BM39" s="64"/>
      <c r="BN39" s="64"/>
      <c r="BO39" s="64"/>
      <c r="BP39" s="64"/>
      <c r="BQ39" s="64"/>
    </row>
    <row r="40" spans="1:69">
      <c r="A40" s="108">
        <f t="shared" si="12"/>
        <v>2032</v>
      </c>
      <c r="B40" s="108">
        <f t="shared" si="3"/>
        <v>366</v>
      </c>
      <c r="C40" s="109">
        <f t="shared" si="13"/>
        <v>0</v>
      </c>
      <c r="D40" s="109">
        <f t="shared" si="0"/>
        <v>29.079452054794519</v>
      </c>
      <c r="E40" s="109">
        <f t="shared" si="4"/>
        <v>0</v>
      </c>
      <c r="F40" s="109">
        <f t="shared" si="14"/>
        <v>0</v>
      </c>
      <c r="G40" s="109">
        <f t="shared" si="1"/>
        <v>29.079452054794519</v>
      </c>
      <c r="H40" s="109">
        <f t="shared" si="5"/>
        <v>79.452054794520535</v>
      </c>
      <c r="I40" s="105"/>
      <c r="J40" s="109">
        <f>IF(AND(Input!$B$17=Lists!$Q$37,Input!$B$13="Oil"),0,G40*Input!$B$32/1000)</f>
        <v>96.930537534246568</v>
      </c>
      <c r="K40" s="109">
        <f t="shared" si="6"/>
        <v>264.83753424657527</v>
      </c>
      <c r="L40" s="105"/>
      <c r="M40" s="109">
        <f t="shared" si="7"/>
        <v>366</v>
      </c>
      <c r="N40" s="109">
        <f t="shared" si="8"/>
        <v>1</v>
      </c>
      <c r="O40" s="105"/>
      <c r="P40" s="109">
        <f>IF(Input!$B$13="Oil",MIN('Sched &amp; Prod Assumptions'!$C$19*'Sched &amp; Prod Assumptions'!$B$15*G40,J40),G40*'Sched &amp; Prod Assumptions'!$C$18)</f>
        <v>4.18744109589041</v>
      </c>
      <c r="Q40" s="109">
        <f>IF(Input!$B$13="Oil",IF(P40&lt;J40,0,Production!G40*'Sched &amp; Prod Assumptions'!$C$19-Production!P40/'Sched &amp; Prod Assumptions'!$C$17*Input!$B$31/1000),0)</f>
        <v>0</v>
      </c>
      <c r="R40" s="105"/>
      <c r="S40" s="109">
        <f t="shared" si="9"/>
        <v>4</v>
      </c>
      <c r="T40" s="391">
        <f>IF($S40=0,0,INDEX('Devel Overrides'!$O$28:$O$69,$S40+1,1)*$T$21+INDEX('Devel Overrides'!$O$28:$O$69,$S40,1)*$T$22)*'Sensitivity Ranges'!$F$41</f>
        <v>0</v>
      </c>
      <c r="U40" s="391">
        <f>IF($S40=0,0,INDEX('Devel Overrides'!$P$28:$P$69,$S40+1,1)*$T$21+INDEX('Devel Overrides'!$P$28:$P$69,$S40,1)*$T$22)*'Sensitivity Ranges'!$F$41</f>
        <v>0</v>
      </c>
      <c r="V40" s="391">
        <f>IF($S40=0,0,INDEX('Devel Overrides'!$Q$28:$Q$69,$S40+1,1)*$T$21+INDEX('Devel Overrides'!$Q$28:$Q$69,$S40,1)*$T$22)*'Sensitivity Ranges'!$F$41</f>
        <v>0</v>
      </c>
      <c r="W40" s="145"/>
      <c r="X40" s="109">
        <f>IF($T$20=1,T40,IF(Input!$B$13="Gas",G40,J40)-P40)</f>
        <v>92.743096438356162</v>
      </c>
      <c r="Y40" s="109">
        <f>IF($T$20=1,U40,IF(Input!$B$13="Gas",0,G40-Q40))</f>
        <v>29.079452054794519</v>
      </c>
      <c r="Z40" s="109">
        <f>IF($T$20=1,V40,IF(Input!$B$13="Gas",J40,0))</f>
        <v>0</v>
      </c>
      <c r="AA40" s="145"/>
      <c r="AB40" s="109">
        <f>X40*Abandonment!$H25</f>
        <v>92.743096438356162</v>
      </c>
      <c r="AC40" s="109">
        <f>Y40*Abandonment!$H25</f>
        <v>29.079452054794519</v>
      </c>
      <c r="AD40" s="109">
        <f>Z40*Abandonment!$H25</f>
        <v>0</v>
      </c>
      <c r="AE40" s="105"/>
      <c r="AF40" s="105"/>
      <c r="AG40" s="109">
        <f t="shared" ca="1" si="10"/>
        <v>92.743096438356162</v>
      </c>
      <c r="AH40" s="109">
        <f t="shared" ca="1" si="2"/>
        <v>29.079452054794519</v>
      </c>
      <c r="AI40" s="109">
        <f t="shared" ca="1" si="2"/>
        <v>0</v>
      </c>
      <c r="AJ40" s="105"/>
      <c r="AK40" s="109">
        <f>X40*Abandonment!H25</f>
        <v>92.743096438356162</v>
      </c>
      <c r="AL40" s="109">
        <f>Y40*Abandonment!H25</f>
        <v>29.079452054794519</v>
      </c>
      <c r="AM40" s="109">
        <f>Z40*Abandonment!H25</f>
        <v>0</v>
      </c>
      <c r="AN40" s="109">
        <f>AK40/'Sched &amp; Prod Assumptions'!$B$15+Production!AL40+AM40</f>
        <v>48.400930479452057</v>
      </c>
      <c r="AO40" s="109">
        <f t="shared" si="11"/>
        <v>132.60528898480015</v>
      </c>
      <c r="AP40" s="64"/>
      <c r="AQ40" s="64"/>
      <c r="AR40" s="64"/>
      <c r="AS40" s="64"/>
      <c r="AT40" s="64"/>
      <c r="AU40" s="64"/>
      <c r="AV40" s="64"/>
      <c r="AW40" s="64"/>
      <c r="AX40" s="64"/>
      <c r="AY40" s="64"/>
      <c r="AZ40" s="64"/>
      <c r="BA40" s="64"/>
      <c r="BB40" s="64"/>
      <c r="BC40" s="64"/>
      <c r="BD40" s="64"/>
      <c r="BE40" s="64"/>
      <c r="BF40" s="64"/>
      <c r="BG40" s="64"/>
      <c r="BH40" s="64"/>
      <c r="BI40" s="64"/>
      <c r="BJ40" s="64"/>
      <c r="BK40" s="64"/>
      <c r="BL40" s="64"/>
      <c r="BM40" s="64"/>
      <c r="BN40" s="64"/>
      <c r="BO40" s="64"/>
      <c r="BP40" s="64"/>
      <c r="BQ40" s="64"/>
    </row>
    <row r="41" spans="1:69">
      <c r="A41" s="108">
        <f t="shared" si="12"/>
        <v>2033</v>
      </c>
      <c r="B41" s="108">
        <f t="shared" si="3"/>
        <v>365</v>
      </c>
      <c r="C41" s="109">
        <f t="shared" si="13"/>
        <v>0</v>
      </c>
      <c r="D41" s="109">
        <f t="shared" si="0"/>
        <v>29</v>
      </c>
      <c r="E41" s="109">
        <f t="shared" si="4"/>
        <v>0</v>
      </c>
      <c r="F41" s="109">
        <f t="shared" si="14"/>
        <v>0</v>
      </c>
      <c r="G41" s="109">
        <f t="shared" si="1"/>
        <v>29</v>
      </c>
      <c r="H41" s="109">
        <f t="shared" si="5"/>
        <v>79.452054794520549</v>
      </c>
      <c r="I41" s="105"/>
      <c r="J41" s="109">
        <f>IF(AND(Input!$B$17=Lists!$Q$37,Input!$B$13="Oil"),0,G41*Input!$B$32/1000)</f>
        <v>96.665700000000015</v>
      </c>
      <c r="K41" s="109">
        <f t="shared" si="6"/>
        <v>264.83753424657533</v>
      </c>
      <c r="L41" s="105"/>
      <c r="M41" s="109">
        <f t="shared" si="7"/>
        <v>365</v>
      </c>
      <c r="N41" s="109">
        <f t="shared" si="8"/>
        <v>1</v>
      </c>
      <c r="O41" s="105"/>
      <c r="P41" s="109">
        <f>IF(Input!$B$13="Oil",MIN('Sched &amp; Prod Assumptions'!$C$19*'Sched &amp; Prod Assumptions'!$B$15*G41,J41),G41*'Sched &amp; Prod Assumptions'!$C$18)</f>
        <v>4.1759999999999993</v>
      </c>
      <c r="Q41" s="109">
        <f>IF(Input!$B$13="Oil",IF(P41&lt;J41,0,Production!G41*'Sched &amp; Prod Assumptions'!$C$19-Production!P41/'Sched &amp; Prod Assumptions'!$C$17*Input!$B$31/1000),0)</f>
        <v>0</v>
      </c>
      <c r="R41" s="105"/>
      <c r="S41" s="109">
        <f t="shared" si="9"/>
        <v>5</v>
      </c>
      <c r="T41" s="391">
        <f>IF($S41=0,0,INDEX('Devel Overrides'!$O$28:$O$69,$S41+1,1)*$T$21+INDEX('Devel Overrides'!$O$28:$O$69,$S41,1)*$T$22)*'Sensitivity Ranges'!$F$41</f>
        <v>0</v>
      </c>
      <c r="U41" s="391">
        <f>IF($S41=0,0,INDEX('Devel Overrides'!$P$28:$P$69,$S41+1,1)*$T$21+INDEX('Devel Overrides'!$P$28:$P$69,$S41,1)*$T$22)*'Sensitivity Ranges'!$F$41</f>
        <v>0</v>
      </c>
      <c r="V41" s="391">
        <f>IF($S41=0,0,INDEX('Devel Overrides'!$Q$28:$Q$69,$S41+1,1)*$T$21+INDEX('Devel Overrides'!$Q$28:$Q$69,$S41,1)*$T$22)*'Sensitivity Ranges'!$F$41</f>
        <v>0</v>
      </c>
      <c r="W41" s="145"/>
      <c r="X41" s="109">
        <f>IF($T$20=1,T41,IF(Input!$B$13="Gas",G41,J41)-P41)</f>
        <v>92.489700000000013</v>
      </c>
      <c r="Y41" s="109">
        <f>IF($T$20=1,U41,IF(Input!$B$13="Gas",0,G41-Q41))</f>
        <v>29</v>
      </c>
      <c r="Z41" s="109">
        <f>IF($T$20=1,V41,IF(Input!$B$13="Gas",J41,0))</f>
        <v>0</v>
      </c>
      <c r="AA41" s="145"/>
      <c r="AB41" s="109">
        <f>X41*Abandonment!$H26</f>
        <v>92.489700000000013</v>
      </c>
      <c r="AC41" s="109">
        <f>Y41*Abandonment!$H26</f>
        <v>29</v>
      </c>
      <c r="AD41" s="109">
        <f>Z41*Abandonment!$H26</f>
        <v>0</v>
      </c>
      <c r="AE41" s="105"/>
      <c r="AF41" s="105"/>
      <c r="AG41" s="109">
        <f t="shared" ca="1" si="10"/>
        <v>92.489700000000013</v>
      </c>
      <c r="AH41" s="109">
        <f t="shared" ca="1" si="2"/>
        <v>29</v>
      </c>
      <c r="AI41" s="109">
        <f t="shared" ca="1" si="2"/>
        <v>0</v>
      </c>
      <c r="AJ41" s="105"/>
      <c r="AK41" s="109">
        <f>X41*Abandonment!H26</f>
        <v>92.489700000000013</v>
      </c>
      <c r="AL41" s="109">
        <f>Y41*Abandonment!H26</f>
        <v>29</v>
      </c>
      <c r="AM41" s="109">
        <f>Z41*Abandonment!H26</f>
        <v>0</v>
      </c>
      <c r="AN41" s="109">
        <f>AK41/'Sched &amp; Prod Assumptions'!$B$15+Production!AL41+AM41</f>
        <v>48.268687499999999</v>
      </c>
      <c r="AO41" s="109">
        <f t="shared" si="11"/>
        <v>132.24297945205478</v>
      </c>
      <c r="AP41" s="64"/>
      <c r="AQ41" s="64"/>
      <c r="AR41" s="64"/>
      <c r="AS41" s="64"/>
      <c r="AT41" s="64"/>
      <c r="AU41" s="64"/>
      <c r="AV41" s="64"/>
      <c r="AW41" s="64"/>
      <c r="AX41" s="64"/>
      <c r="AY41" s="64"/>
      <c r="AZ41" s="64"/>
      <c r="BA41" s="64"/>
      <c r="BB41" s="64"/>
      <c r="BC41" s="64"/>
      <c r="BD41" s="64"/>
      <c r="BE41" s="64"/>
      <c r="BF41" s="64"/>
      <c r="BG41" s="64"/>
      <c r="BH41" s="64"/>
      <c r="BI41" s="64"/>
      <c r="BJ41" s="64"/>
      <c r="BK41" s="64"/>
      <c r="BL41" s="64"/>
      <c r="BM41" s="64"/>
      <c r="BN41" s="64"/>
      <c r="BO41" s="64"/>
      <c r="BP41" s="64"/>
      <c r="BQ41" s="64"/>
    </row>
    <row r="42" spans="1:69">
      <c r="A42" s="108">
        <f t="shared" si="12"/>
        <v>2034</v>
      </c>
      <c r="B42" s="108">
        <f t="shared" si="3"/>
        <v>365</v>
      </c>
      <c r="C42" s="109">
        <f t="shared" si="13"/>
        <v>0</v>
      </c>
      <c r="D42" s="109">
        <f t="shared" si="0"/>
        <v>29</v>
      </c>
      <c r="E42" s="109">
        <f t="shared" si="4"/>
        <v>0</v>
      </c>
      <c r="F42" s="109">
        <f t="shared" si="14"/>
        <v>0</v>
      </c>
      <c r="G42" s="109">
        <f t="shared" si="1"/>
        <v>29</v>
      </c>
      <c r="H42" s="109">
        <f t="shared" si="5"/>
        <v>79.452054794520549</v>
      </c>
      <c r="I42" s="105"/>
      <c r="J42" s="109">
        <f>IF(AND(Input!$B$17=Lists!$Q$37,Input!$B$13="Oil"),0,G42*Input!$B$32/1000)</f>
        <v>96.665700000000015</v>
      </c>
      <c r="K42" s="109">
        <f t="shared" si="6"/>
        <v>264.83753424657533</v>
      </c>
      <c r="L42" s="105"/>
      <c r="M42" s="109">
        <f t="shared" si="7"/>
        <v>365</v>
      </c>
      <c r="N42" s="109">
        <f t="shared" si="8"/>
        <v>1</v>
      </c>
      <c r="O42" s="105"/>
      <c r="P42" s="109">
        <f>IF(Input!$B$13="Oil",MIN('Sched &amp; Prod Assumptions'!$C$19*'Sched &amp; Prod Assumptions'!$B$15*G42,J42),G42*'Sched &amp; Prod Assumptions'!$C$18)</f>
        <v>4.1759999999999993</v>
      </c>
      <c r="Q42" s="109">
        <f>IF(Input!$B$13="Oil",IF(P42&lt;J42,0,Production!G42*'Sched &amp; Prod Assumptions'!$C$19-Production!P42/'Sched &amp; Prod Assumptions'!$C$17*Input!$B$31/1000),0)</f>
        <v>0</v>
      </c>
      <c r="R42" s="105"/>
      <c r="S42" s="109">
        <f t="shared" si="9"/>
        <v>6</v>
      </c>
      <c r="T42" s="391">
        <f>IF($S42=0,0,INDEX('Devel Overrides'!$O$28:$O$69,$S42+1,1)*$T$21+INDEX('Devel Overrides'!$O$28:$O$69,$S42,1)*$T$22)*'Sensitivity Ranges'!$F$41</f>
        <v>0</v>
      </c>
      <c r="U42" s="391">
        <f>IF($S42=0,0,INDEX('Devel Overrides'!$P$28:$P$69,$S42+1,1)*$T$21+INDEX('Devel Overrides'!$P$28:$P$69,$S42,1)*$T$22)*'Sensitivity Ranges'!$F$41</f>
        <v>0</v>
      </c>
      <c r="V42" s="391">
        <f>IF($S42=0,0,INDEX('Devel Overrides'!$Q$28:$Q$69,$S42+1,1)*$T$21+INDEX('Devel Overrides'!$Q$28:$Q$69,$S42,1)*$T$22)*'Sensitivity Ranges'!$F$41</f>
        <v>0</v>
      </c>
      <c r="W42" s="145"/>
      <c r="X42" s="109">
        <f>IF($T$20=1,T42,IF(Input!$B$13="Gas",G42,J42)-P42)</f>
        <v>92.489700000000013</v>
      </c>
      <c r="Y42" s="109">
        <f>IF($T$20=1,U42,IF(Input!$B$13="Gas",0,G42-Q42))</f>
        <v>29</v>
      </c>
      <c r="Z42" s="109">
        <f>IF($T$20=1,V42,IF(Input!$B$13="Gas",J42,0))</f>
        <v>0</v>
      </c>
      <c r="AA42" s="145"/>
      <c r="AB42" s="109">
        <f>X42*Abandonment!$H27</f>
        <v>92.489700000000013</v>
      </c>
      <c r="AC42" s="109">
        <f>Y42*Abandonment!$H27</f>
        <v>29</v>
      </c>
      <c r="AD42" s="109">
        <f>Z42*Abandonment!$H27</f>
        <v>0</v>
      </c>
      <c r="AE42" s="105"/>
      <c r="AF42" s="105"/>
      <c r="AG42" s="109">
        <f t="shared" ca="1" si="10"/>
        <v>92.489700000000013</v>
      </c>
      <c r="AH42" s="109">
        <f t="shared" ca="1" si="2"/>
        <v>29</v>
      </c>
      <c r="AI42" s="109">
        <f t="shared" ca="1" si="2"/>
        <v>0</v>
      </c>
      <c r="AJ42" s="105"/>
      <c r="AK42" s="109">
        <f>X42*Abandonment!H27</f>
        <v>92.489700000000013</v>
      </c>
      <c r="AL42" s="109">
        <f>Y42*Abandonment!H27</f>
        <v>29</v>
      </c>
      <c r="AM42" s="109">
        <f>Z42*Abandonment!H27</f>
        <v>0</v>
      </c>
      <c r="AN42" s="109">
        <f>AK42/'Sched &amp; Prod Assumptions'!$B$15+Production!AL42+AM42</f>
        <v>48.268687499999999</v>
      </c>
      <c r="AO42" s="109">
        <f t="shared" si="11"/>
        <v>132.24297945205478</v>
      </c>
      <c r="AP42" s="64"/>
      <c r="AQ42" s="64"/>
      <c r="AR42" s="64"/>
      <c r="AS42" s="64"/>
      <c r="AT42" s="64"/>
      <c r="AU42" s="64"/>
      <c r="AV42" s="64"/>
      <c r="AW42" s="64"/>
      <c r="AX42" s="64"/>
      <c r="AY42" s="64"/>
      <c r="AZ42" s="64"/>
      <c r="BA42" s="64"/>
      <c r="BB42" s="64"/>
      <c r="BC42" s="64"/>
      <c r="BD42" s="64"/>
      <c r="BE42" s="64"/>
      <c r="BF42" s="64"/>
      <c r="BG42" s="64"/>
      <c r="BH42" s="64"/>
      <c r="BI42" s="64"/>
      <c r="BJ42" s="64"/>
      <c r="BK42" s="64"/>
      <c r="BL42" s="64"/>
      <c r="BM42" s="64"/>
      <c r="BN42" s="64"/>
      <c r="BO42" s="64"/>
      <c r="BP42" s="64"/>
      <c r="BQ42" s="64"/>
    </row>
    <row r="43" spans="1:69">
      <c r="A43" s="108">
        <f t="shared" si="12"/>
        <v>2035</v>
      </c>
      <c r="B43" s="108">
        <f t="shared" si="3"/>
        <v>365</v>
      </c>
      <c r="C43" s="109">
        <f t="shared" si="13"/>
        <v>0</v>
      </c>
      <c r="D43" s="109">
        <f t="shared" ref="D43:D70" si="15">IF($B$8&lt;$B$7,0,IF(A43&lt;$D$21,0,IF(A43=$D$21,(IF(A43=$D$22,$B$22,DATE(A43,12,31))-$B$21)*$B$11/1000,IF(A43&lt;$D$22,B43/1000*$B$11,IF(A43=$D$22,($B$22-DATE(A43-1,12,31))*$B$11/1000,0)))))</f>
        <v>11.992720156555839</v>
      </c>
      <c r="E43" s="109">
        <f t="shared" si="4"/>
        <v>214.05714285714203</v>
      </c>
      <c r="F43" s="109">
        <f t="shared" si="14"/>
        <v>16.221940805521484</v>
      </c>
      <c r="G43" s="109">
        <f t="shared" si="1"/>
        <v>28.214660962077325</v>
      </c>
      <c r="H43" s="109">
        <f t="shared" si="5"/>
        <v>77.300440991992673</v>
      </c>
      <c r="I43" s="105"/>
      <c r="J43" s="109">
        <f>IF(AND(Input!$B$17=Lists!$Q$37,Input!$B$13="Oil"),0,G43*Input!$B$32/1000)</f>
        <v>94.047929384892356</v>
      </c>
      <c r="K43" s="109">
        <f t="shared" si="6"/>
        <v>257.66555995860921</v>
      </c>
      <c r="L43" s="105"/>
      <c r="M43" s="109">
        <f t="shared" si="7"/>
        <v>365</v>
      </c>
      <c r="N43" s="109">
        <f t="shared" si="8"/>
        <v>1</v>
      </c>
      <c r="O43" s="105"/>
      <c r="P43" s="109">
        <f>IF(Input!$B$13="Oil",MIN('Sched &amp; Prod Assumptions'!$C$19*'Sched &amp; Prod Assumptions'!$B$15*G43,J43),G43*'Sched &amp; Prod Assumptions'!$C$18)</f>
        <v>4.0629111785391343</v>
      </c>
      <c r="Q43" s="109">
        <f>IF(Input!$B$13="Oil",IF(P43&lt;J43,0,Production!G43*'Sched &amp; Prod Assumptions'!$C$19-Production!P43/'Sched &amp; Prod Assumptions'!$C$17*Input!$B$31/1000),0)</f>
        <v>0</v>
      </c>
      <c r="R43" s="105"/>
      <c r="S43" s="109">
        <f t="shared" si="9"/>
        <v>7</v>
      </c>
      <c r="T43" s="391">
        <f>IF($S43=0,0,INDEX('Devel Overrides'!$O$28:$O$69,$S43+1,1)*$T$21+INDEX('Devel Overrides'!$O$28:$O$69,$S43,1)*$T$22)*'Sensitivity Ranges'!$F$41</f>
        <v>0</v>
      </c>
      <c r="U43" s="391">
        <f>IF($S43=0,0,INDEX('Devel Overrides'!$P$28:$P$69,$S43+1,1)*$T$21+INDEX('Devel Overrides'!$P$28:$P$69,$S43,1)*$T$22)*'Sensitivity Ranges'!$F$41</f>
        <v>0</v>
      </c>
      <c r="V43" s="391">
        <f>IF($S43=0,0,INDEX('Devel Overrides'!$Q$28:$Q$69,$S43+1,1)*$T$21+INDEX('Devel Overrides'!$Q$28:$Q$69,$S43,1)*$T$22)*'Sensitivity Ranges'!$F$41</f>
        <v>0</v>
      </c>
      <c r="W43" s="145"/>
      <c r="X43" s="109">
        <f>IF($T$20=1,T43,IF(Input!$B$13="Gas",G43,J43)-P43)</f>
        <v>89.985018206353217</v>
      </c>
      <c r="Y43" s="109">
        <f>IF($T$20=1,U43,IF(Input!$B$13="Gas",0,G43-Q43))</f>
        <v>28.214660962077325</v>
      </c>
      <c r="Z43" s="109">
        <f>IF($T$20=1,V43,IF(Input!$B$13="Gas",J43,0))</f>
        <v>0</v>
      </c>
      <c r="AA43" s="145"/>
      <c r="AB43" s="109">
        <f>X43*Abandonment!$H28</f>
        <v>89.985018206353217</v>
      </c>
      <c r="AC43" s="109">
        <f>Y43*Abandonment!$H28</f>
        <v>28.214660962077325</v>
      </c>
      <c r="AD43" s="109">
        <f>Z43*Abandonment!$H28</f>
        <v>0</v>
      </c>
      <c r="AE43" s="105"/>
      <c r="AF43" s="105"/>
      <c r="AG43" s="109">
        <f t="shared" ca="1" si="10"/>
        <v>89.985018206353217</v>
      </c>
      <c r="AH43" s="109">
        <f t="shared" ca="1" si="2"/>
        <v>28.214660962077325</v>
      </c>
      <c r="AI43" s="109">
        <f t="shared" ca="1" si="2"/>
        <v>0</v>
      </c>
      <c r="AJ43" s="105"/>
      <c r="AK43" s="109">
        <f>X43*Abandonment!H28</f>
        <v>89.985018206353217</v>
      </c>
      <c r="AL43" s="109">
        <f>Y43*Abandonment!H28</f>
        <v>28.214660962077325</v>
      </c>
      <c r="AM43" s="109">
        <f>Z43*Abandonment!H28</f>
        <v>0</v>
      </c>
      <c r="AN43" s="109">
        <f>AK43/'Sched &amp; Prod Assumptions'!$B$15+Production!AL43+AM43</f>
        <v>46.961539755067577</v>
      </c>
      <c r="AO43" s="109">
        <f t="shared" si="11"/>
        <v>128.66175275360979</v>
      </c>
      <c r="AP43" s="64"/>
      <c r="AQ43" s="64"/>
      <c r="AR43" s="64"/>
      <c r="AS43" s="64"/>
      <c r="AT43" s="64"/>
      <c r="AU43" s="64"/>
      <c r="AV43" s="64"/>
      <c r="AW43" s="64"/>
      <c r="AX43" s="64"/>
      <c r="AY43" s="64"/>
      <c r="AZ43" s="64"/>
      <c r="BA43" s="64"/>
      <c r="BB43" s="64"/>
      <c r="BC43" s="64"/>
      <c r="BD43" s="64"/>
      <c r="BE43" s="64"/>
      <c r="BF43" s="64"/>
      <c r="BG43" s="64"/>
      <c r="BH43" s="64"/>
      <c r="BI43" s="64"/>
      <c r="BJ43" s="64"/>
      <c r="BK43" s="64"/>
      <c r="BL43" s="64"/>
      <c r="BM43" s="64"/>
      <c r="BN43" s="64"/>
      <c r="BO43" s="64"/>
      <c r="BP43" s="64"/>
      <c r="BQ43" s="64"/>
    </row>
    <row r="44" spans="1:69">
      <c r="A44" s="108">
        <f t="shared" si="12"/>
        <v>2036</v>
      </c>
      <c r="B44" s="108">
        <f t="shared" si="3"/>
        <v>366</v>
      </c>
      <c r="C44" s="109">
        <f t="shared" si="13"/>
        <v>0</v>
      </c>
      <c r="D44" s="109">
        <f t="shared" si="15"/>
        <v>0</v>
      </c>
      <c r="E44" s="109">
        <f t="shared" si="4"/>
        <v>580.05714285714203</v>
      </c>
      <c r="F44" s="109">
        <f t="shared" si="14"/>
        <v>24.394202767754187</v>
      </c>
      <c r="G44" s="109">
        <f t="shared" si="1"/>
        <v>24.394202767754187</v>
      </c>
      <c r="H44" s="109">
        <f t="shared" si="5"/>
        <v>66.650827234301062</v>
      </c>
      <c r="I44" s="105"/>
      <c r="J44" s="109">
        <f>IF(AND(Input!$B$17=Lists!$Q$37,Input!$B$13="Oil"),0,G44*Input!$B$32/1000)</f>
        <v>81.313196085755038</v>
      </c>
      <c r="K44" s="109">
        <f t="shared" si="6"/>
        <v>222.16720242009575</v>
      </c>
      <c r="L44" s="105"/>
      <c r="M44" s="109">
        <f t="shared" si="7"/>
        <v>366</v>
      </c>
      <c r="N44" s="109">
        <f t="shared" si="8"/>
        <v>1</v>
      </c>
      <c r="O44" s="105"/>
      <c r="P44" s="109">
        <f>IF(Input!$B$13="Oil",MIN('Sched &amp; Prod Assumptions'!$C$19*'Sched &amp; Prod Assumptions'!$B$15*G44,J44),G44*'Sched &amp; Prod Assumptions'!$C$18)</f>
        <v>3.5127651985566026</v>
      </c>
      <c r="Q44" s="109">
        <f>IF(Input!$B$13="Oil",IF(P44&lt;J44,0,Production!G44*'Sched &amp; Prod Assumptions'!$C$19-Production!P44/'Sched &amp; Prod Assumptions'!$C$17*Input!$B$31/1000),0)</f>
        <v>0</v>
      </c>
      <c r="R44" s="105"/>
      <c r="S44" s="109">
        <f t="shared" si="9"/>
        <v>8</v>
      </c>
      <c r="T44" s="391">
        <f>IF($S44=0,0,INDEX('Devel Overrides'!$O$28:$O$69,$S44+1,1)*$T$21+INDEX('Devel Overrides'!$O$28:$O$69,$S44,1)*$T$22)*'Sensitivity Ranges'!$F$41</f>
        <v>0</v>
      </c>
      <c r="U44" s="391">
        <f>IF($S44=0,0,INDEX('Devel Overrides'!$P$28:$P$69,$S44+1,1)*$T$21+INDEX('Devel Overrides'!$P$28:$P$69,$S44,1)*$T$22)*'Sensitivity Ranges'!$F$41</f>
        <v>0</v>
      </c>
      <c r="V44" s="391">
        <f>IF($S44=0,0,INDEX('Devel Overrides'!$Q$28:$Q$69,$S44+1,1)*$T$21+INDEX('Devel Overrides'!$Q$28:$Q$69,$S44,1)*$T$22)*'Sensitivity Ranges'!$F$41</f>
        <v>0</v>
      </c>
      <c r="W44" s="145"/>
      <c r="X44" s="109">
        <f>IF($T$20=1,T44,IF(Input!$B$13="Gas",G44,J44)-P44)</f>
        <v>77.800430887198431</v>
      </c>
      <c r="Y44" s="109">
        <f>IF($T$20=1,U44,IF(Input!$B$13="Gas",0,G44-Q44))</f>
        <v>24.394202767754187</v>
      </c>
      <c r="Z44" s="109">
        <f>IF($T$20=1,V44,IF(Input!$B$13="Gas",J44,0))</f>
        <v>0</v>
      </c>
      <c r="AA44" s="145"/>
      <c r="AB44" s="109">
        <f>X44*Abandonment!$H29</f>
        <v>77.800430887198431</v>
      </c>
      <c r="AC44" s="109">
        <f>Y44*Abandonment!$H29</f>
        <v>24.394202767754187</v>
      </c>
      <c r="AD44" s="109">
        <f>Z44*Abandonment!$H29</f>
        <v>0</v>
      </c>
      <c r="AE44" s="105"/>
      <c r="AF44" s="105"/>
      <c r="AG44" s="109">
        <f t="shared" ca="1" si="10"/>
        <v>77.800430887198431</v>
      </c>
      <c r="AH44" s="109">
        <f t="shared" ca="1" si="2"/>
        <v>24.394202767754187</v>
      </c>
      <c r="AI44" s="109">
        <f t="shared" ca="1" si="2"/>
        <v>0</v>
      </c>
      <c r="AJ44" s="105"/>
      <c r="AK44" s="109">
        <f>X44*Abandonment!H29</f>
        <v>77.800430887198431</v>
      </c>
      <c r="AL44" s="109">
        <f>Y44*Abandonment!H29</f>
        <v>24.394202767754187</v>
      </c>
      <c r="AM44" s="109">
        <f>Z44*Abandonment!H29</f>
        <v>0</v>
      </c>
      <c r="AN44" s="109">
        <f>AK44/'Sched &amp; Prod Assumptions'!$B$15+Production!AL44+AM44</f>
        <v>40.602625869253856</v>
      </c>
      <c r="AO44" s="109">
        <f t="shared" si="11"/>
        <v>111.24007087466811</v>
      </c>
      <c r="AP44" s="64"/>
      <c r="AQ44" s="64"/>
      <c r="AR44" s="64"/>
      <c r="AS44" s="64"/>
      <c r="AT44" s="64"/>
      <c r="AU44" s="64"/>
      <c r="AV44" s="64"/>
      <c r="AW44" s="64"/>
      <c r="AX44" s="64"/>
      <c r="AY44" s="64"/>
      <c r="AZ44" s="64"/>
      <c r="BA44" s="64"/>
      <c r="BB44" s="64"/>
      <c r="BC44" s="64"/>
      <c r="BD44" s="64"/>
      <c r="BE44" s="64"/>
      <c r="BF44" s="64"/>
      <c r="BG44" s="64"/>
      <c r="BH44" s="64"/>
      <c r="BI44" s="64"/>
      <c r="BJ44" s="64"/>
      <c r="BK44" s="64"/>
      <c r="BL44" s="64"/>
      <c r="BM44" s="64"/>
      <c r="BN44" s="64"/>
      <c r="BO44" s="64"/>
      <c r="BP44" s="64"/>
      <c r="BQ44" s="64"/>
    </row>
    <row r="45" spans="1:69">
      <c r="A45" s="108">
        <f t="shared" si="12"/>
        <v>2037</v>
      </c>
      <c r="B45" s="108">
        <f t="shared" si="3"/>
        <v>365</v>
      </c>
      <c r="C45" s="109">
        <f t="shared" si="13"/>
        <v>0</v>
      </c>
      <c r="D45" s="109">
        <f t="shared" si="15"/>
        <v>0</v>
      </c>
      <c r="E45" s="109">
        <f t="shared" si="4"/>
        <v>945.05714285714203</v>
      </c>
      <c r="F45" s="109">
        <f t="shared" si="14"/>
        <v>20.67369126971451</v>
      </c>
      <c r="G45" s="109">
        <f t="shared" si="1"/>
        <v>20.67369126971451</v>
      </c>
      <c r="H45" s="109">
        <f t="shared" si="5"/>
        <v>56.640250054012355</v>
      </c>
      <c r="I45" s="105"/>
      <c r="J45" s="109">
        <f>IF(AND(Input!$B$17=Lists!$Q$37,Input!$B$13="Oil"),0,G45*Input!$B$32/1000)</f>
        <v>68.91161510933938</v>
      </c>
      <c r="K45" s="109">
        <f t="shared" si="6"/>
        <v>188.7989455050394</v>
      </c>
      <c r="L45" s="105"/>
      <c r="M45" s="109">
        <f t="shared" si="7"/>
        <v>365</v>
      </c>
      <c r="N45" s="109">
        <f t="shared" si="8"/>
        <v>1</v>
      </c>
      <c r="O45" s="105"/>
      <c r="P45" s="109">
        <f>IF(Input!$B$13="Oil",MIN('Sched &amp; Prod Assumptions'!$C$19*'Sched &amp; Prod Assumptions'!$B$15*G45,J45),G45*'Sched &amp; Prod Assumptions'!$C$18)</f>
        <v>2.977011542838889</v>
      </c>
      <c r="Q45" s="109">
        <f>IF(Input!$B$13="Oil",IF(P45&lt;J45,0,Production!G45*'Sched &amp; Prod Assumptions'!$C$19-Production!P45/'Sched &amp; Prod Assumptions'!$C$17*Input!$B$31/1000),0)</f>
        <v>0</v>
      </c>
      <c r="R45" s="105"/>
      <c r="S45" s="109">
        <f t="shared" si="9"/>
        <v>9</v>
      </c>
      <c r="T45" s="391">
        <f>IF($S45=0,0,INDEX('Devel Overrides'!$O$28:$O$69,$S45+1,1)*$T$21+INDEX('Devel Overrides'!$O$28:$O$69,$S45,1)*$T$22)*'Sensitivity Ranges'!$F$41</f>
        <v>0</v>
      </c>
      <c r="U45" s="391">
        <f>IF($S45=0,0,INDEX('Devel Overrides'!$P$28:$P$69,$S45+1,1)*$T$21+INDEX('Devel Overrides'!$P$28:$P$69,$S45,1)*$T$22)*'Sensitivity Ranges'!$F$41</f>
        <v>0</v>
      </c>
      <c r="V45" s="391">
        <f>IF($S45=0,0,INDEX('Devel Overrides'!$Q$28:$Q$69,$S45+1,1)*$T$21+INDEX('Devel Overrides'!$Q$28:$Q$69,$S45,1)*$T$22)*'Sensitivity Ranges'!$F$41</f>
        <v>0</v>
      </c>
      <c r="W45" s="145"/>
      <c r="X45" s="109">
        <f>IF($T$20=1,T45,IF(Input!$B$13="Gas",G45,J45)-P45)</f>
        <v>65.934603566500485</v>
      </c>
      <c r="Y45" s="109">
        <f>IF($T$20=1,U45,IF(Input!$B$13="Gas",0,G45-Q45))</f>
        <v>20.67369126971451</v>
      </c>
      <c r="Z45" s="109">
        <f>IF($T$20=1,V45,IF(Input!$B$13="Gas",J45,0))</f>
        <v>0</v>
      </c>
      <c r="AA45" s="145"/>
      <c r="AB45" s="109">
        <f>X45*Abandonment!$H30</f>
        <v>65.934603566500485</v>
      </c>
      <c r="AC45" s="109">
        <f>Y45*Abandonment!$H30</f>
        <v>20.67369126971451</v>
      </c>
      <c r="AD45" s="109">
        <f>Z45*Abandonment!$H30</f>
        <v>0</v>
      </c>
      <c r="AE45" s="105"/>
      <c r="AF45" s="105"/>
      <c r="AG45" s="109">
        <f t="shared" ca="1" si="10"/>
        <v>65.934603566500485</v>
      </c>
      <c r="AH45" s="109">
        <f t="shared" ca="1" si="2"/>
        <v>20.67369126971451</v>
      </c>
      <c r="AI45" s="109">
        <f t="shared" ca="1" si="2"/>
        <v>0</v>
      </c>
      <c r="AJ45" s="105"/>
      <c r="AK45" s="109">
        <f>X45*Abandonment!H30</f>
        <v>65.934603566500485</v>
      </c>
      <c r="AL45" s="109">
        <f>Y45*Abandonment!H30</f>
        <v>20.67369126971451</v>
      </c>
      <c r="AM45" s="109">
        <f>Z45*Abandonment!H30</f>
        <v>0</v>
      </c>
      <c r="AN45" s="109">
        <f>AK45/'Sched &amp; Prod Assumptions'!$B$15+Production!AL45+AM45</f>
        <v>34.410067012735446</v>
      </c>
      <c r="AO45" s="109">
        <f t="shared" si="11"/>
        <v>94.274156199275197</v>
      </c>
      <c r="AP45" s="64"/>
      <c r="AQ45" s="64"/>
      <c r="AR45" s="64"/>
      <c r="AS45" s="64"/>
      <c r="AT45" s="64"/>
      <c r="AU45" s="64"/>
      <c r="AV45" s="64"/>
      <c r="AW45" s="64"/>
      <c r="AX45" s="64"/>
      <c r="AY45" s="64"/>
      <c r="AZ45" s="64"/>
      <c r="BA45" s="64"/>
      <c r="BB45" s="64"/>
      <c r="BC45" s="64"/>
      <c r="BD45" s="64"/>
      <c r="BE45" s="64"/>
      <c r="BF45" s="64"/>
      <c r="BG45" s="64"/>
      <c r="BH45" s="64"/>
      <c r="BI45" s="64"/>
      <c r="BJ45" s="64"/>
      <c r="BK45" s="64"/>
      <c r="BL45" s="64"/>
      <c r="BM45" s="64"/>
      <c r="BN45" s="64"/>
      <c r="BO45" s="64"/>
      <c r="BP45" s="64"/>
      <c r="BQ45" s="64"/>
    </row>
    <row r="46" spans="1:69">
      <c r="A46" s="108">
        <f t="shared" si="12"/>
        <v>2038</v>
      </c>
      <c r="B46" s="108">
        <f t="shared" si="3"/>
        <v>365</v>
      </c>
      <c r="C46" s="109">
        <f t="shared" si="13"/>
        <v>0</v>
      </c>
      <c r="D46" s="109">
        <f t="shared" si="15"/>
        <v>0</v>
      </c>
      <c r="E46" s="109">
        <f t="shared" si="4"/>
        <v>1310.057142857142</v>
      </c>
      <c r="F46" s="109">
        <f t="shared" si="14"/>
        <v>17.572637579257325</v>
      </c>
      <c r="G46" s="109">
        <f t="shared" si="1"/>
        <v>17.572637579257325</v>
      </c>
      <c r="H46" s="109">
        <f t="shared" si="5"/>
        <v>48.144212545910484</v>
      </c>
      <c r="I46" s="105"/>
      <c r="J46" s="109">
        <f>IF(AND(Input!$B$17=Lists!$Q$37,Input!$B$13="Oil"),0,G46*Input!$B$32/1000)</f>
        <v>58.57487284293844</v>
      </c>
      <c r="K46" s="109">
        <f t="shared" si="6"/>
        <v>160.47910367928338</v>
      </c>
      <c r="L46" s="105"/>
      <c r="M46" s="109">
        <f t="shared" si="7"/>
        <v>365</v>
      </c>
      <c r="N46" s="109">
        <f t="shared" si="8"/>
        <v>1</v>
      </c>
      <c r="O46" s="105"/>
      <c r="P46" s="109">
        <f>IF(Input!$B$13="Oil",MIN('Sched &amp; Prod Assumptions'!$C$19*'Sched &amp; Prod Assumptions'!$B$15*G46,J46),G46*'Sched &amp; Prod Assumptions'!$C$18)</f>
        <v>2.5304598114130545</v>
      </c>
      <c r="Q46" s="109">
        <f>IF(Input!$B$13="Oil",IF(P46&lt;J46,0,Production!G46*'Sched &amp; Prod Assumptions'!$C$19-Production!P46/'Sched &amp; Prod Assumptions'!$C$17*Input!$B$31/1000),0)</f>
        <v>0</v>
      </c>
      <c r="R46" s="105"/>
      <c r="S46" s="109">
        <f t="shared" si="9"/>
        <v>10</v>
      </c>
      <c r="T46" s="391">
        <f>IF($S46=0,0,INDEX('Devel Overrides'!$O$28:$O$69,$S46+1,1)*$T$21+INDEX('Devel Overrides'!$O$28:$O$69,$S46,1)*$T$22)*'Sensitivity Ranges'!$F$41</f>
        <v>0</v>
      </c>
      <c r="U46" s="391">
        <f>IF($S46=0,0,INDEX('Devel Overrides'!$P$28:$P$69,$S46+1,1)*$T$21+INDEX('Devel Overrides'!$P$28:$P$69,$S46,1)*$T$22)*'Sensitivity Ranges'!$F$41</f>
        <v>0</v>
      </c>
      <c r="V46" s="391">
        <f>IF($S46=0,0,INDEX('Devel Overrides'!$Q$28:$Q$69,$S46+1,1)*$T$21+INDEX('Devel Overrides'!$Q$28:$Q$69,$S46,1)*$T$22)*'Sensitivity Ranges'!$F$41</f>
        <v>0</v>
      </c>
      <c r="W46" s="145"/>
      <c r="X46" s="109">
        <f>IF($T$20=1,T46,IF(Input!$B$13="Gas",G46,J46)-P46)</f>
        <v>56.044413031525387</v>
      </c>
      <c r="Y46" s="109">
        <f>IF($T$20=1,U46,IF(Input!$B$13="Gas",0,G46-Q46))</f>
        <v>17.572637579257325</v>
      </c>
      <c r="Z46" s="109">
        <f>IF($T$20=1,V46,IF(Input!$B$13="Gas",J46,0))</f>
        <v>0</v>
      </c>
      <c r="AA46" s="145"/>
      <c r="AB46" s="109">
        <f>X46*Abandonment!$H31</f>
        <v>56.044413031525387</v>
      </c>
      <c r="AC46" s="109">
        <f>Y46*Abandonment!$H31</f>
        <v>17.572637579257325</v>
      </c>
      <c r="AD46" s="109">
        <f>Z46*Abandonment!$H31</f>
        <v>0</v>
      </c>
      <c r="AE46" s="105"/>
      <c r="AF46" s="105"/>
      <c r="AG46" s="109">
        <f t="shared" ca="1" si="10"/>
        <v>56.044413031525387</v>
      </c>
      <c r="AH46" s="109">
        <f t="shared" ca="1" si="2"/>
        <v>17.572637579257325</v>
      </c>
      <c r="AI46" s="109">
        <f t="shared" ca="1" si="2"/>
        <v>0</v>
      </c>
      <c r="AJ46" s="105"/>
      <c r="AK46" s="109">
        <f>X46*Abandonment!H31</f>
        <v>56.044413031525387</v>
      </c>
      <c r="AL46" s="109">
        <f>Y46*Abandonment!H31</f>
        <v>17.572637579257325</v>
      </c>
      <c r="AM46" s="109">
        <f>Z46*Abandonment!H31</f>
        <v>0</v>
      </c>
      <c r="AN46" s="109">
        <f>AK46/'Sched &amp; Prod Assumptions'!$B$15+Production!AL46+AM46</f>
        <v>29.248556960825113</v>
      </c>
      <c r="AO46" s="109">
        <f t="shared" si="11"/>
        <v>80.133032769383874</v>
      </c>
      <c r="AP46" s="64"/>
      <c r="AQ46" s="64"/>
      <c r="AR46" s="64"/>
      <c r="AS46" s="64"/>
      <c r="AT46" s="64"/>
      <c r="AU46" s="64"/>
      <c r="AV46" s="64"/>
      <c r="AW46" s="64"/>
      <c r="AX46" s="64"/>
      <c r="AY46" s="64"/>
      <c r="AZ46" s="64"/>
      <c r="BA46" s="64"/>
      <c r="BB46" s="64"/>
      <c r="BC46" s="64"/>
      <c r="BD46" s="64"/>
      <c r="BE46" s="64"/>
      <c r="BF46" s="64"/>
      <c r="BG46" s="64"/>
      <c r="BH46" s="64"/>
      <c r="BI46" s="64"/>
      <c r="BJ46" s="64"/>
      <c r="BK46" s="64"/>
      <c r="BL46" s="64"/>
      <c r="BM46" s="64"/>
      <c r="BN46" s="64"/>
      <c r="BO46" s="64"/>
      <c r="BP46" s="64"/>
      <c r="BQ46" s="64"/>
    </row>
    <row r="47" spans="1:69">
      <c r="A47" s="108">
        <f t="shared" si="12"/>
        <v>2039</v>
      </c>
      <c r="B47" s="108">
        <f t="shared" si="3"/>
        <v>365</v>
      </c>
      <c r="C47" s="109">
        <f t="shared" si="13"/>
        <v>0</v>
      </c>
      <c r="D47" s="109">
        <f t="shared" si="15"/>
        <v>0</v>
      </c>
      <c r="E47" s="109">
        <f t="shared" si="4"/>
        <v>1675.057142857142</v>
      </c>
      <c r="F47" s="109">
        <f t="shared" si="14"/>
        <v>14.936741942368721</v>
      </c>
      <c r="G47" s="109">
        <f t="shared" si="1"/>
        <v>14.936741942368721</v>
      </c>
      <c r="H47" s="109">
        <f t="shared" si="5"/>
        <v>40.92258066402389</v>
      </c>
      <c r="I47" s="105"/>
      <c r="J47" s="109">
        <f>IF(AND(Input!$B$17=Lists!$Q$37,Input!$B$13="Oil"),0,G47*Input!$B$32/1000)</f>
        <v>49.78864191649766</v>
      </c>
      <c r="K47" s="109">
        <f t="shared" si="6"/>
        <v>136.40723812739085</v>
      </c>
      <c r="L47" s="105"/>
      <c r="M47" s="109">
        <f t="shared" si="7"/>
        <v>365</v>
      </c>
      <c r="N47" s="109">
        <f t="shared" si="8"/>
        <v>1</v>
      </c>
      <c r="O47" s="105"/>
      <c r="P47" s="109">
        <f>IF(Input!$B$13="Oil",MIN('Sched &amp; Prod Assumptions'!$C$19*'Sched &amp; Prod Assumptions'!$B$15*G47,J47),G47*'Sched &amp; Prod Assumptions'!$C$18)</f>
        <v>2.1508908397010957</v>
      </c>
      <c r="Q47" s="109">
        <f>IF(Input!$B$13="Oil",IF(P47&lt;J47,0,Production!G47*'Sched &amp; Prod Assumptions'!$C$19-Production!P47/'Sched &amp; Prod Assumptions'!$C$17*Input!$B$31/1000),0)</f>
        <v>0</v>
      </c>
      <c r="R47" s="105"/>
      <c r="S47" s="109">
        <f t="shared" si="9"/>
        <v>11</v>
      </c>
      <c r="T47" s="391">
        <f>IF($S47=0,0,INDEX('Devel Overrides'!$O$28:$O$69,$S47+1,1)*$T$21+INDEX('Devel Overrides'!$O$28:$O$69,$S47,1)*$T$22)*'Sensitivity Ranges'!$F$41</f>
        <v>0</v>
      </c>
      <c r="U47" s="391">
        <f>IF($S47=0,0,INDEX('Devel Overrides'!$P$28:$P$69,$S47+1,1)*$T$21+INDEX('Devel Overrides'!$P$28:$P$69,$S47,1)*$T$22)*'Sensitivity Ranges'!$F$41</f>
        <v>0</v>
      </c>
      <c r="V47" s="391">
        <f>IF($S47=0,0,INDEX('Devel Overrides'!$Q$28:$Q$69,$S47+1,1)*$T$21+INDEX('Devel Overrides'!$Q$28:$Q$69,$S47,1)*$T$22)*'Sensitivity Ranges'!$F$41</f>
        <v>0</v>
      </c>
      <c r="W47" s="145"/>
      <c r="X47" s="109">
        <f>IF($T$20=1,T47,IF(Input!$B$13="Gas",G47,J47)-P47)</f>
        <v>47.637751076796562</v>
      </c>
      <c r="Y47" s="109">
        <f>IF($T$20=1,U47,IF(Input!$B$13="Gas",0,G47-Q47))</f>
        <v>14.936741942368721</v>
      </c>
      <c r="Z47" s="109">
        <f>IF($T$20=1,V47,IF(Input!$B$13="Gas",J47,0))</f>
        <v>0</v>
      </c>
      <c r="AA47" s="145"/>
      <c r="AB47" s="109">
        <f>X47*Abandonment!$H32</f>
        <v>47.637751076796562</v>
      </c>
      <c r="AC47" s="109">
        <f>Y47*Abandonment!$H32</f>
        <v>14.936741942368721</v>
      </c>
      <c r="AD47" s="109">
        <f>Z47*Abandonment!$H32</f>
        <v>0</v>
      </c>
      <c r="AE47" s="105"/>
      <c r="AF47" s="105"/>
      <c r="AG47" s="109">
        <f t="shared" ca="1" si="10"/>
        <v>47.637751076796562</v>
      </c>
      <c r="AH47" s="109">
        <f t="shared" ca="1" si="2"/>
        <v>14.936741942368721</v>
      </c>
      <c r="AI47" s="109">
        <f t="shared" ca="1" si="2"/>
        <v>0</v>
      </c>
      <c r="AJ47" s="105"/>
      <c r="AK47" s="109">
        <f>X47*Abandonment!H32</f>
        <v>47.637751076796562</v>
      </c>
      <c r="AL47" s="109">
        <f>Y47*Abandonment!H32</f>
        <v>14.936741942368721</v>
      </c>
      <c r="AM47" s="109">
        <f>Z47*Abandonment!H32</f>
        <v>0</v>
      </c>
      <c r="AN47" s="109">
        <f>AK47/'Sched &amp; Prod Assumptions'!$B$15+Production!AL47+AM47</f>
        <v>24.861273416701337</v>
      </c>
      <c r="AO47" s="109">
        <f t="shared" si="11"/>
        <v>68.113077853976264</v>
      </c>
      <c r="AP47" s="64"/>
      <c r="AQ47" s="64"/>
      <c r="AR47" s="64"/>
      <c r="AS47" s="64"/>
      <c r="AT47" s="64"/>
      <c r="AU47" s="64"/>
      <c r="AV47" s="64"/>
      <c r="AW47" s="64"/>
      <c r="AX47" s="64"/>
      <c r="AY47" s="64"/>
      <c r="AZ47" s="64"/>
      <c r="BA47" s="64"/>
      <c r="BB47" s="64"/>
      <c r="BC47" s="64"/>
      <c r="BD47" s="64"/>
      <c r="BE47" s="64"/>
      <c r="BF47" s="64"/>
      <c r="BG47" s="64"/>
      <c r="BH47" s="64"/>
      <c r="BI47" s="64"/>
      <c r="BJ47" s="64"/>
      <c r="BK47" s="64"/>
      <c r="BL47" s="64"/>
      <c r="BM47" s="64"/>
      <c r="BN47" s="64"/>
      <c r="BO47" s="64"/>
      <c r="BP47" s="64"/>
      <c r="BQ47" s="64"/>
    </row>
    <row r="48" spans="1:69">
      <c r="A48" s="108">
        <f t="shared" si="12"/>
        <v>2040</v>
      </c>
      <c r="B48" s="108">
        <f t="shared" si="3"/>
        <v>366</v>
      </c>
      <c r="C48" s="109">
        <f t="shared" si="13"/>
        <v>0</v>
      </c>
      <c r="D48" s="109">
        <f t="shared" si="15"/>
        <v>0</v>
      </c>
      <c r="E48" s="109">
        <f t="shared" si="4"/>
        <v>2041.057142857142</v>
      </c>
      <c r="F48" s="109">
        <f t="shared" si="14"/>
        <v>12.728257696454436</v>
      </c>
      <c r="G48" s="109">
        <f t="shared" si="1"/>
        <v>12.728257696454436</v>
      </c>
      <c r="H48" s="109">
        <f t="shared" si="5"/>
        <v>34.776660372826328</v>
      </c>
      <c r="I48" s="105"/>
      <c r="J48" s="109">
        <f>IF(AND(Input!$B$17=Lists!$Q$37,Input!$B$13="Oil"),0,G48*Input!$B$32/1000)</f>
        <v>42.427101379591576</v>
      </c>
      <c r="K48" s="109">
        <f t="shared" si="6"/>
        <v>115.92104202074201</v>
      </c>
      <c r="L48" s="105"/>
      <c r="M48" s="109">
        <f t="shared" si="7"/>
        <v>366</v>
      </c>
      <c r="N48" s="109">
        <f t="shared" si="8"/>
        <v>1</v>
      </c>
      <c r="O48" s="105"/>
      <c r="P48" s="109">
        <f>IF(Input!$B$13="Oil",MIN('Sched &amp; Prod Assumptions'!$C$19*'Sched &amp; Prod Assumptions'!$B$15*G48,J48),G48*'Sched &amp; Prod Assumptions'!$C$18)</f>
        <v>1.8328691082894386</v>
      </c>
      <c r="Q48" s="109">
        <f>IF(Input!$B$13="Oil",IF(P48&lt;J48,0,Production!G48*'Sched &amp; Prod Assumptions'!$C$19-Production!P48/'Sched &amp; Prod Assumptions'!$C$17*Input!$B$31/1000),0)</f>
        <v>0</v>
      </c>
      <c r="R48" s="105"/>
      <c r="S48" s="109">
        <f t="shared" si="9"/>
        <v>12</v>
      </c>
      <c r="T48" s="391">
        <f>IF($S48=0,0,INDEX('Devel Overrides'!$O$28:$O$69,$S48+1,1)*$T$21+INDEX('Devel Overrides'!$O$28:$O$69,$S48,1)*$T$22)*'Sensitivity Ranges'!$F$41</f>
        <v>0</v>
      </c>
      <c r="U48" s="391">
        <f>IF($S48=0,0,INDEX('Devel Overrides'!$P$28:$P$69,$S48+1,1)*$T$21+INDEX('Devel Overrides'!$P$28:$P$69,$S48,1)*$T$22)*'Sensitivity Ranges'!$F$41</f>
        <v>0</v>
      </c>
      <c r="V48" s="391">
        <f>IF($S48=0,0,INDEX('Devel Overrides'!$Q$28:$Q$69,$S48+1,1)*$T$21+INDEX('Devel Overrides'!$Q$28:$Q$69,$S48,1)*$T$22)*'Sensitivity Ranges'!$F$41</f>
        <v>0</v>
      </c>
      <c r="W48" s="145"/>
      <c r="X48" s="109">
        <f>IF($T$20=1,T48,IF(Input!$B$13="Gas",G48,J48)-P48)</f>
        <v>40.59423227130214</v>
      </c>
      <c r="Y48" s="109">
        <f>IF($T$20=1,U48,IF(Input!$B$13="Gas",0,G48-Q48))</f>
        <v>12.728257696454436</v>
      </c>
      <c r="Z48" s="109">
        <f>IF($T$20=1,V48,IF(Input!$B$13="Gas",J48,0))</f>
        <v>0</v>
      </c>
      <c r="AA48" s="145"/>
      <c r="AB48" s="109">
        <f>X48*Abandonment!$H33</f>
        <v>40.59423227130214</v>
      </c>
      <c r="AC48" s="109">
        <f>Y48*Abandonment!$H33</f>
        <v>12.728257696454436</v>
      </c>
      <c r="AD48" s="109">
        <f>Z48*Abandonment!$H33</f>
        <v>0</v>
      </c>
      <c r="AE48" s="105"/>
      <c r="AF48" s="105"/>
      <c r="AG48" s="109">
        <f t="shared" ca="1" si="10"/>
        <v>40.59423227130214</v>
      </c>
      <c r="AH48" s="109">
        <f t="shared" ca="1" si="2"/>
        <v>12.728257696454436</v>
      </c>
      <c r="AI48" s="109">
        <f t="shared" ca="1" si="2"/>
        <v>0</v>
      </c>
      <c r="AJ48" s="105"/>
      <c r="AK48" s="109">
        <f>X48*Abandonment!H33</f>
        <v>40.59423227130214</v>
      </c>
      <c r="AL48" s="109">
        <f>Y48*Abandonment!H33</f>
        <v>12.728257696454436</v>
      </c>
      <c r="AM48" s="109">
        <f>Z48*Abandonment!H33</f>
        <v>0</v>
      </c>
      <c r="AN48" s="109">
        <f>AK48/'Sched &amp; Prod Assumptions'!$B$15+Production!AL48+AM48</f>
        <v>21.185389419642384</v>
      </c>
      <c r="AO48" s="109">
        <f t="shared" si="11"/>
        <v>58.042162793540776</v>
      </c>
      <c r="AP48" s="64"/>
      <c r="AQ48" s="64"/>
      <c r="AR48" s="64"/>
      <c r="AS48" s="64"/>
      <c r="AT48" s="64"/>
      <c r="AU48" s="64"/>
      <c r="AV48" s="64"/>
      <c r="AW48" s="64"/>
      <c r="AX48" s="64"/>
      <c r="AY48" s="64"/>
      <c r="AZ48" s="64"/>
      <c r="BA48" s="64"/>
      <c r="BB48" s="64"/>
      <c r="BC48" s="64"/>
      <c r="BD48" s="64"/>
      <c r="BE48" s="64"/>
      <c r="BF48" s="64"/>
      <c r="BG48" s="64"/>
      <c r="BH48" s="64"/>
      <c r="BI48" s="64"/>
      <c r="BJ48" s="64"/>
      <c r="BK48" s="64"/>
      <c r="BL48" s="64"/>
      <c r="BM48" s="64"/>
      <c r="BN48" s="64"/>
      <c r="BO48" s="64"/>
      <c r="BP48" s="64"/>
      <c r="BQ48" s="64"/>
    </row>
    <row r="49" spans="1:69">
      <c r="A49" s="108">
        <f t="shared" si="12"/>
        <v>2041</v>
      </c>
      <c r="B49" s="108">
        <f t="shared" si="3"/>
        <v>365</v>
      </c>
      <c r="C49" s="109">
        <f t="shared" si="13"/>
        <v>0</v>
      </c>
      <c r="D49" s="109">
        <f t="shared" si="15"/>
        <v>0</v>
      </c>
      <c r="E49" s="109">
        <f t="shared" si="4"/>
        <v>2406.057142857142</v>
      </c>
      <c r="F49" s="109">
        <f t="shared" si="14"/>
        <v>10.786991996545247</v>
      </c>
      <c r="G49" s="109">
        <f t="shared" si="1"/>
        <v>10.786991996545247</v>
      </c>
      <c r="H49" s="109">
        <f t="shared" si="5"/>
        <v>29.553402730260949</v>
      </c>
      <c r="I49" s="105"/>
      <c r="J49" s="109">
        <f>IF(AND(Input!$B$17=Lists!$Q$37,Input!$B$13="Oil"),0,G49*Input!$B$32/1000)</f>
        <v>35.956280422084276</v>
      </c>
      <c r="K49" s="109">
        <f t="shared" si="6"/>
        <v>98.510357320778837</v>
      </c>
      <c r="L49" s="105"/>
      <c r="M49" s="109">
        <f t="shared" si="7"/>
        <v>365</v>
      </c>
      <c r="N49" s="109">
        <f t="shared" si="8"/>
        <v>1</v>
      </c>
      <c r="O49" s="105"/>
      <c r="P49" s="109">
        <f>IF(Input!$B$13="Oil",MIN('Sched &amp; Prod Assumptions'!$C$19*'Sched &amp; Prod Assumptions'!$B$15*G49,J49),G49*'Sched &amp; Prod Assumptions'!$C$18)</f>
        <v>1.5533268475025155</v>
      </c>
      <c r="Q49" s="109">
        <f>IF(Input!$B$13="Oil",IF(P49&lt;J49,0,Production!G49*'Sched &amp; Prod Assumptions'!$C$19-Production!P49/'Sched &amp; Prod Assumptions'!$C$17*Input!$B$31/1000),0)</f>
        <v>0</v>
      </c>
      <c r="R49" s="105"/>
      <c r="S49" s="109">
        <f t="shared" si="9"/>
        <v>13</v>
      </c>
      <c r="T49" s="391">
        <f>IF($S49=0,0,INDEX('Devel Overrides'!$O$28:$O$69,$S49+1,1)*$T$21+INDEX('Devel Overrides'!$O$28:$O$69,$S49,1)*$T$22)*'Sensitivity Ranges'!$F$41</f>
        <v>0</v>
      </c>
      <c r="U49" s="391">
        <f>IF($S49=0,0,INDEX('Devel Overrides'!$P$28:$P$69,$S49+1,1)*$T$21+INDEX('Devel Overrides'!$P$28:$P$69,$S49,1)*$T$22)*'Sensitivity Ranges'!$F$41</f>
        <v>0</v>
      </c>
      <c r="V49" s="391">
        <f>IF($S49=0,0,INDEX('Devel Overrides'!$Q$28:$Q$69,$S49+1,1)*$T$21+INDEX('Devel Overrides'!$Q$28:$Q$69,$S49,1)*$T$22)*'Sensitivity Ranges'!$F$41</f>
        <v>0</v>
      </c>
      <c r="W49" s="145"/>
      <c r="X49" s="109">
        <f>IF($T$20=1,T49,IF(Input!$B$13="Gas",G49,J49)-P49)</f>
        <v>34.402953574581758</v>
      </c>
      <c r="Y49" s="109">
        <f>IF($T$20=1,U49,IF(Input!$B$13="Gas",0,G49-Q49))</f>
        <v>10.786991996545247</v>
      </c>
      <c r="Z49" s="109">
        <f>IF($T$20=1,V49,IF(Input!$B$13="Gas",J49,0))</f>
        <v>0</v>
      </c>
      <c r="AA49" s="145"/>
      <c r="AB49" s="109">
        <f>X49*Abandonment!$H34</f>
        <v>34.402953574581758</v>
      </c>
      <c r="AC49" s="109">
        <f>Y49*Abandonment!$H34</f>
        <v>10.786991996545247</v>
      </c>
      <c r="AD49" s="109">
        <f>Z49*Abandonment!$H34</f>
        <v>0</v>
      </c>
      <c r="AE49" s="105"/>
      <c r="AF49" s="105"/>
      <c r="AG49" s="109">
        <f t="shared" ca="1" si="10"/>
        <v>34.402953574581758</v>
      </c>
      <c r="AH49" s="109">
        <f t="shared" ca="1" si="2"/>
        <v>10.786991996545247</v>
      </c>
      <c r="AI49" s="109">
        <f t="shared" ca="1" si="2"/>
        <v>0</v>
      </c>
      <c r="AJ49" s="105"/>
      <c r="AK49" s="109">
        <f>X49*Abandonment!H34</f>
        <v>34.402953574581758</v>
      </c>
      <c r="AL49" s="109">
        <f>Y49*Abandonment!H34</f>
        <v>10.786991996545247</v>
      </c>
      <c r="AM49" s="109">
        <f>Z49*Abandonment!H34</f>
        <v>0</v>
      </c>
      <c r="AN49" s="109">
        <f>AK49/'Sched &amp; Prod Assumptions'!$B$15+Production!AL49+AM49</f>
        <v>17.954273991249778</v>
      </c>
      <c r="AO49" s="109">
        <f t="shared" si="11"/>
        <v>49.189791756848706</v>
      </c>
      <c r="AP49" s="64"/>
      <c r="AQ49" s="64"/>
      <c r="AR49" s="64"/>
      <c r="AS49" s="64"/>
      <c r="AT49" s="64"/>
      <c r="AU49" s="64"/>
      <c r="AV49" s="64"/>
      <c r="AW49" s="64"/>
      <c r="AX49" s="64"/>
      <c r="AY49" s="64"/>
      <c r="AZ49" s="64"/>
      <c r="BA49" s="64"/>
      <c r="BB49" s="64"/>
      <c r="BC49" s="64"/>
      <c r="BD49" s="64"/>
      <c r="BE49" s="64"/>
      <c r="BF49" s="64"/>
      <c r="BG49" s="64"/>
      <c r="BH49" s="64"/>
      <c r="BI49" s="64"/>
      <c r="BJ49" s="64"/>
      <c r="BK49" s="64"/>
      <c r="BL49" s="64"/>
      <c r="BM49" s="64"/>
      <c r="BN49" s="64"/>
      <c r="BO49" s="64"/>
      <c r="BP49" s="64"/>
      <c r="BQ49" s="64"/>
    </row>
    <row r="50" spans="1:69">
      <c r="A50" s="108">
        <f t="shared" si="12"/>
        <v>2042</v>
      </c>
      <c r="B50" s="108">
        <f t="shared" si="3"/>
        <v>365</v>
      </c>
      <c r="C50" s="109">
        <f t="shared" si="13"/>
        <v>0</v>
      </c>
      <c r="D50" s="109">
        <f t="shared" si="15"/>
        <v>0</v>
      </c>
      <c r="E50" s="109">
        <f t="shared" si="4"/>
        <v>2771.057142857142</v>
      </c>
      <c r="F50" s="109">
        <f t="shared" si="14"/>
        <v>9.1689431970634718</v>
      </c>
      <c r="G50" s="109">
        <f t="shared" si="1"/>
        <v>9.1689431970634718</v>
      </c>
      <c r="H50" s="109">
        <f t="shared" si="5"/>
        <v>25.120392320721841</v>
      </c>
      <c r="I50" s="105"/>
      <c r="J50" s="109">
        <f>IF(AND(Input!$B$17=Lists!$Q$37,Input!$B$13="Oil"),0,G50*Input!$B$32/1000)</f>
        <v>30.562838358771671</v>
      </c>
      <c r="K50" s="109">
        <f t="shared" si="6"/>
        <v>83.733803722662103</v>
      </c>
      <c r="L50" s="105"/>
      <c r="M50" s="109">
        <f t="shared" si="7"/>
        <v>365</v>
      </c>
      <c r="N50" s="109">
        <f t="shared" si="8"/>
        <v>1</v>
      </c>
      <c r="O50" s="105"/>
      <c r="P50" s="109">
        <f>IF(Input!$B$13="Oil",MIN('Sched &amp; Prod Assumptions'!$C$19*'Sched &amp; Prod Assumptions'!$B$15*G50,J50),G50*'Sched &amp; Prod Assumptions'!$C$18)</f>
        <v>1.3203278203771398</v>
      </c>
      <c r="Q50" s="109">
        <f>IF(Input!$B$13="Oil",IF(P50&lt;J50,0,Production!G50*'Sched &amp; Prod Assumptions'!$C$19-Production!P50/'Sched &amp; Prod Assumptions'!$C$17*Input!$B$31/1000),0)</f>
        <v>0</v>
      </c>
      <c r="R50" s="105"/>
      <c r="S50" s="109">
        <f t="shared" si="9"/>
        <v>14</v>
      </c>
      <c r="T50" s="391">
        <f>IF($S50=0,0,INDEX('Devel Overrides'!$O$28:$O$69,$S50+1,1)*$T$21+INDEX('Devel Overrides'!$O$28:$O$69,$S50,1)*$T$22)*'Sensitivity Ranges'!$F$41</f>
        <v>0</v>
      </c>
      <c r="U50" s="391">
        <f>IF($S50=0,0,INDEX('Devel Overrides'!$P$28:$P$69,$S50+1,1)*$T$21+INDEX('Devel Overrides'!$P$28:$P$69,$S50,1)*$T$22)*'Sensitivity Ranges'!$F$41</f>
        <v>0</v>
      </c>
      <c r="V50" s="391">
        <f>IF($S50=0,0,INDEX('Devel Overrides'!$Q$28:$Q$69,$S50+1,1)*$T$21+INDEX('Devel Overrides'!$Q$28:$Q$69,$S50,1)*$T$22)*'Sensitivity Ranges'!$F$41</f>
        <v>0</v>
      </c>
      <c r="W50" s="145"/>
      <c r="X50" s="109">
        <f>IF($T$20=1,T50,IF(Input!$B$13="Gas",G50,J50)-P50)</f>
        <v>29.24251053839453</v>
      </c>
      <c r="Y50" s="109">
        <f>IF($T$20=1,U50,IF(Input!$B$13="Gas",0,G50-Q50))</f>
        <v>9.1689431970634718</v>
      </c>
      <c r="Z50" s="109">
        <f>IF($T$20=1,V50,IF(Input!$B$13="Gas",J50,0))</f>
        <v>0</v>
      </c>
      <c r="AA50" s="145"/>
      <c r="AB50" s="109">
        <f>X50*Abandonment!$H35</f>
        <v>29.24251053839453</v>
      </c>
      <c r="AC50" s="109">
        <f>Y50*Abandonment!$H35</f>
        <v>9.1689431970634718</v>
      </c>
      <c r="AD50" s="109">
        <f>Z50*Abandonment!$H35</f>
        <v>0</v>
      </c>
      <c r="AE50" s="105"/>
      <c r="AF50" s="105"/>
      <c r="AG50" s="109">
        <f t="shared" ca="1" si="10"/>
        <v>29.24251053839453</v>
      </c>
      <c r="AH50" s="109">
        <f t="shared" ca="1" si="2"/>
        <v>9.1689431970634718</v>
      </c>
      <c r="AI50" s="109">
        <f t="shared" ca="1" si="2"/>
        <v>0</v>
      </c>
      <c r="AJ50" s="105"/>
      <c r="AK50" s="109">
        <f>X50*Abandonment!H35</f>
        <v>29.24251053839453</v>
      </c>
      <c r="AL50" s="109">
        <f>Y50*Abandonment!H35</f>
        <v>9.1689431970634718</v>
      </c>
      <c r="AM50" s="109">
        <f>Z50*Abandonment!H35</f>
        <v>0</v>
      </c>
      <c r="AN50" s="109">
        <f>AK50/'Sched &amp; Prod Assumptions'!$B$15+Production!AL50+AM50</f>
        <v>15.261132892562333</v>
      </c>
      <c r="AO50" s="109">
        <f t="shared" si="11"/>
        <v>41.811322993321461</v>
      </c>
      <c r="AP50" s="64"/>
      <c r="AQ50" s="64"/>
      <c r="AR50" s="64"/>
      <c r="AS50" s="64"/>
      <c r="AT50" s="64"/>
      <c r="AU50" s="64"/>
      <c r="AV50" s="64"/>
      <c r="AW50" s="64"/>
      <c r="AX50" s="64"/>
      <c r="AY50" s="64"/>
      <c r="AZ50" s="64"/>
      <c r="BA50" s="64"/>
      <c r="BB50" s="64"/>
      <c r="BC50" s="64"/>
      <c r="BD50" s="64"/>
      <c r="BE50" s="64"/>
      <c r="BF50" s="64"/>
      <c r="BG50" s="64"/>
      <c r="BH50" s="64"/>
      <c r="BI50" s="64"/>
      <c r="BJ50" s="64"/>
      <c r="BK50" s="64"/>
      <c r="BL50" s="64"/>
      <c r="BM50" s="64"/>
      <c r="BN50" s="64"/>
      <c r="BO50" s="64"/>
      <c r="BP50" s="64"/>
      <c r="BQ50" s="64"/>
    </row>
    <row r="51" spans="1:69">
      <c r="A51" s="108">
        <f t="shared" si="12"/>
        <v>2043</v>
      </c>
      <c r="B51" s="108">
        <f t="shared" si="3"/>
        <v>365</v>
      </c>
      <c r="C51" s="109">
        <f t="shared" si="13"/>
        <v>0</v>
      </c>
      <c r="D51" s="109">
        <f t="shared" si="15"/>
        <v>0</v>
      </c>
      <c r="E51" s="109">
        <f t="shared" si="4"/>
        <v>3136.057142857142</v>
      </c>
      <c r="F51" s="109">
        <f t="shared" si="14"/>
        <v>7.7936017175039414</v>
      </c>
      <c r="G51" s="109">
        <f t="shared" si="1"/>
        <v>7.7936017175039414</v>
      </c>
      <c r="H51" s="109">
        <f t="shared" si="5"/>
        <v>21.352333472613541</v>
      </c>
      <c r="I51" s="105"/>
      <c r="J51" s="109">
        <f>IF(AND(Input!$B$17=Lists!$Q$37,Input!$B$13="Oil"),0,G51*Input!$B$32/1000)</f>
        <v>25.978412604955892</v>
      </c>
      <c r="K51" s="109">
        <f t="shared" si="6"/>
        <v>71.173733164262714</v>
      </c>
      <c r="L51" s="105"/>
      <c r="M51" s="109">
        <f t="shared" si="7"/>
        <v>365</v>
      </c>
      <c r="N51" s="109">
        <f t="shared" si="8"/>
        <v>1</v>
      </c>
      <c r="O51" s="105"/>
      <c r="P51" s="109">
        <f>IF(Input!$B$13="Oil",MIN('Sched &amp; Prod Assumptions'!$C$19*'Sched &amp; Prod Assumptions'!$B$15*G51,J51),G51*'Sched &amp; Prod Assumptions'!$C$18)</f>
        <v>1.1222786473205675</v>
      </c>
      <c r="Q51" s="109">
        <f>IF(Input!$B$13="Oil",IF(P51&lt;J51,0,Production!G51*'Sched &amp; Prod Assumptions'!$C$19-Production!P51/'Sched &amp; Prod Assumptions'!$C$17*Input!$B$31/1000),0)</f>
        <v>0</v>
      </c>
      <c r="R51" s="105"/>
      <c r="S51" s="109">
        <f t="shared" si="9"/>
        <v>15</v>
      </c>
      <c r="T51" s="391">
        <f>IF($S51=0,0,INDEX('Devel Overrides'!$O$28:$O$69,$S51+1,1)*$T$21+INDEX('Devel Overrides'!$O$28:$O$69,$S51,1)*$T$22)*'Sensitivity Ranges'!$F$41</f>
        <v>0</v>
      </c>
      <c r="U51" s="391">
        <f>IF($S51=0,0,INDEX('Devel Overrides'!$P$28:$P$69,$S51+1,1)*$T$21+INDEX('Devel Overrides'!$P$28:$P$69,$S51,1)*$T$22)*'Sensitivity Ranges'!$F$41</f>
        <v>0</v>
      </c>
      <c r="V51" s="391">
        <f>IF($S51=0,0,INDEX('Devel Overrides'!$Q$28:$Q$69,$S51+1,1)*$T$21+INDEX('Devel Overrides'!$Q$28:$Q$69,$S51,1)*$T$22)*'Sensitivity Ranges'!$F$41</f>
        <v>0</v>
      </c>
      <c r="W51" s="145"/>
      <c r="X51" s="109">
        <f>IF($T$20=1,T51,IF(Input!$B$13="Gas",G51,J51)-P51)</f>
        <v>24.856133957635326</v>
      </c>
      <c r="Y51" s="109">
        <f>IF($T$20=1,U51,IF(Input!$B$13="Gas",0,G51-Q51))</f>
        <v>7.7936017175039414</v>
      </c>
      <c r="Z51" s="109">
        <f>IF($T$20=1,V51,IF(Input!$B$13="Gas",J51,0))</f>
        <v>0</v>
      </c>
      <c r="AA51" s="145"/>
      <c r="AB51" s="109">
        <f>X51*Abandonment!$H36</f>
        <v>24.856133957635326</v>
      </c>
      <c r="AC51" s="109">
        <f>Y51*Abandonment!$H36</f>
        <v>7.7936017175039414</v>
      </c>
      <c r="AD51" s="109">
        <f>Z51*Abandonment!$H36</f>
        <v>0</v>
      </c>
      <c r="AE51" s="105"/>
      <c r="AF51" s="105"/>
      <c r="AG51" s="109">
        <f t="shared" ca="1" si="10"/>
        <v>24.856133957635326</v>
      </c>
      <c r="AH51" s="109">
        <f t="shared" ca="1" si="2"/>
        <v>7.7936017175039414</v>
      </c>
      <c r="AI51" s="109">
        <f t="shared" ca="1" si="2"/>
        <v>0</v>
      </c>
      <c r="AJ51" s="105"/>
      <c r="AK51" s="109">
        <f>X51*Abandonment!H36</f>
        <v>24.856133957635326</v>
      </c>
      <c r="AL51" s="109">
        <f>Y51*Abandonment!H36</f>
        <v>7.7936017175039414</v>
      </c>
      <c r="AM51" s="109">
        <f>Z51*Abandonment!H36</f>
        <v>0</v>
      </c>
      <c r="AN51" s="109">
        <f>AK51/'Sched &amp; Prod Assumptions'!$B$15+Production!AL51+AM51</f>
        <v>12.971962958677967</v>
      </c>
      <c r="AO51" s="109">
        <f t="shared" si="11"/>
        <v>35.539624544323196</v>
      </c>
      <c r="AP51" s="64"/>
      <c r="AQ51" s="64"/>
      <c r="AR51" s="64"/>
      <c r="AS51" s="64"/>
      <c r="AT51" s="64"/>
      <c r="AU51" s="64"/>
      <c r="AV51" s="64"/>
      <c r="AW51" s="64"/>
      <c r="AX51" s="64"/>
      <c r="AY51" s="64"/>
      <c r="AZ51" s="64"/>
      <c r="BA51" s="64"/>
      <c r="BB51" s="64"/>
      <c r="BC51" s="64"/>
      <c r="BD51" s="64"/>
      <c r="BE51" s="64"/>
      <c r="BF51" s="64"/>
      <c r="BG51" s="64"/>
      <c r="BH51" s="64"/>
      <c r="BI51" s="64"/>
      <c r="BJ51" s="64"/>
      <c r="BK51" s="64"/>
      <c r="BL51" s="64"/>
      <c r="BM51" s="64"/>
      <c r="BN51" s="64"/>
      <c r="BO51" s="64"/>
      <c r="BP51" s="64"/>
      <c r="BQ51" s="64"/>
    </row>
    <row r="52" spans="1:69">
      <c r="A52" s="108">
        <f t="shared" si="12"/>
        <v>2044</v>
      </c>
      <c r="B52" s="108">
        <f t="shared" si="3"/>
        <v>366</v>
      </c>
      <c r="C52" s="109">
        <f t="shared" si="13"/>
        <v>0</v>
      </c>
      <c r="D52" s="109">
        <f t="shared" si="15"/>
        <v>0</v>
      </c>
      <c r="E52" s="109">
        <f t="shared" si="4"/>
        <v>3502.057142857142</v>
      </c>
      <c r="F52" s="109">
        <f t="shared" si="14"/>
        <v>6.6412723354708145</v>
      </c>
      <c r="G52" s="109">
        <f t="shared" si="1"/>
        <v>6.6412723354708145</v>
      </c>
      <c r="H52" s="109">
        <f t="shared" si="5"/>
        <v>18.145552829155228</v>
      </c>
      <c r="I52" s="105"/>
      <c r="J52" s="109">
        <f>IF(AND(Input!$B$17=Lists!$Q$37,Input!$B$13="Oil"),0,G52*Input!$B$32/1000)</f>
        <v>22.137353075824866</v>
      </c>
      <c r="K52" s="109">
        <f t="shared" si="6"/>
        <v>60.484571245423126</v>
      </c>
      <c r="L52" s="105"/>
      <c r="M52" s="109">
        <f t="shared" si="7"/>
        <v>366</v>
      </c>
      <c r="N52" s="109">
        <f t="shared" si="8"/>
        <v>1</v>
      </c>
      <c r="O52" s="105"/>
      <c r="P52" s="109">
        <f>IF(Input!$B$13="Oil",MIN('Sched &amp; Prod Assumptions'!$C$19*'Sched &amp; Prod Assumptions'!$B$15*G52,J52),G52*'Sched &amp; Prod Assumptions'!$C$18)</f>
        <v>0.95634321630779717</v>
      </c>
      <c r="Q52" s="109">
        <f>IF(Input!$B$13="Oil",IF(P52&lt;J52,0,Production!G52*'Sched &amp; Prod Assumptions'!$C$19-Production!P52/'Sched &amp; Prod Assumptions'!$C$17*Input!$B$31/1000),0)</f>
        <v>0</v>
      </c>
      <c r="R52" s="105"/>
      <c r="S52" s="109">
        <f t="shared" si="9"/>
        <v>16</v>
      </c>
      <c r="T52" s="391">
        <f>IF($S52=0,0,INDEX('Devel Overrides'!$O$28:$O$69,$S52+1,1)*$T$21+INDEX('Devel Overrides'!$O$28:$O$69,$S52,1)*$T$22)*'Sensitivity Ranges'!$F$41</f>
        <v>0</v>
      </c>
      <c r="U52" s="391">
        <f>IF($S52=0,0,INDEX('Devel Overrides'!$P$28:$P$69,$S52+1,1)*$T$21+INDEX('Devel Overrides'!$P$28:$P$69,$S52,1)*$T$22)*'Sensitivity Ranges'!$F$41</f>
        <v>0</v>
      </c>
      <c r="V52" s="391">
        <f>IF($S52=0,0,INDEX('Devel Overrides'!$Q$28:$Q$69,$S52+1,1)*$T$21+INDEX('Devel Overrides'!$Q$28:$Q$69,$S52,1)*$T$22)*'Sensitivity Ranges'!$F$41</f>
        <v>0</v>
      </c>
      <c r="W52" s="145"/>
      <c r="X52" s="109">
        <f>IF($T$20=1,T52,IF(Input!$B$13="Gas",G52,J52)-P52)</f>
        <v>21.181009859517069</v>
      </c>
      <c r="Y52" s="109">
        <f>IF($T$20=1,U52,IF(Input!$B$13="Gas",0,G52-Q52))</f>
        <v>6.6412723354708145</v>
      </c>
      <c r="Z52" s="109">
        <f>IF($T$20=1,V52,IF(Input!$B$13="Gas",J52,0))</f>
        <v>0</v>
      </c>
      <c r="AA52" s="145"/>
      <c r="AB52" s="109">
        <f>X52*Abandonment!$H37</f>
        <v>21.181009859517069</v>
      </c>
      <c r="AC52" s="109">
        <f>Y52*Abandonment!$H37</f>
        <v>6.6412723354708145</v>
      </c>
      <c r="AD52" s="109">
        <f>Z52*Abandonment!$H37</f>
        <v>0</v>
      </c>
      <c r="AE52" s="105"/>
      <c r="AF52" s="105"/>
      <c r="AG52" s="109">
        <f t="shared" ca="1" si="10"/>
        <v>21.181009859517069</v>
      </c>
      <c r="AH52" s="109">
        <f t="shared" ca="1" si="2"/>
        <v>6.6412723354708145</v>
      </c>
      <c r="AI52" s="109">
        <f t="shared" ca="1" si="2"/>
        <v>0</v>
      </c>
      <c r="AJ52" s="105"/>
      <c r="AK52" s="109">
        <f>X52*Abandonment!H37</f>
        <v>21.181009859517069</v>
      </c>
      <c r="AL52" s="109">
        <f>Y52*Abandonment!H37</f>
        <v>6.6412723354708145</v>
      </c>
      <c r="AM52" s="109">
        <f>Z52*Abandonment!H37</f>
        <v>0</v>
      </c>
      <c r="AN52" s="109">
        <f>AK52/'Sched &amp; Prod Assumptions'!$B$15+Production!AL52+AM52</f>
        <v>11.053982722870204</v>
      </c>
      <c r="AO52" s="109">
        <f t="shared" si="11"/>
        <v>30.284884172247136</v>
      </c>
      <c r="AP52" s="64"/>
      <c r="AQ52" s="64"/>
      <c r="AR52" s="64"/>
      <c r="AS52" s="64"/>
      <c r="AT52" s="64"/>
      <c r="AU52" s="64"/>
      <c r="AV52" s="64"/>
      <c r="AW52" s="64"/>
      <c r="AX52" s="64"/>
      <c r="AY52" s="64"/>
      <c r="AZ52" s="64"/>
      <c r="BA52" s="64"/>
      <c r="BB52" s="64"/>
      <c r="BC52" s="64"/>
      <c r="BD52" s="64"/>
      <c r="BE52" s="64"/>
      <c r="BF52" s="64"/>
      <c r="BG52" s="64"/>
      <c r="BH52" s="64"/>
      <c r="BI52" s="64"/>
      <c r="BJ52" s="64"/>
      <c r="BK52" s="64"/>
      <c r="BL52" s="64"/>
      <c r="BM52" s="64"/>
      <c r="BN52" s="64"/>
      <c r="BO52" s="64"/>
      <c r="BP52" s="64"/>
      <c r="BQ52" s="64"/>
    </row>
    <row r="53" spans="1:69">
      <c r="A53" s="108">
        <f t="shared" si="12"/>
        <v>2045</v>
      </c>
      <c r="B53" s="108">
        <f t="shared" si="3"/>
        <v>365</v>
      </c>
      <c r="C53" s="109">
        <f t="shared" si="13"/>
        <v>0</v>
      </c>
      <c r="D53" s="109">
        <f t="shared" si="15"/>
        <v>0</v>
      </c>
      <c r="E53" s="109">
        <f t="shared" si="4"/>
        <v>3867.057142857142</v>
      </c>
      <c r="F53" s="109">
        <f t="shared" si="14"/>
        <v>5.6283706095577406</v>
      </c>
      <c r="G53" s="109">
        <f t="shared" si="1"/>
        <v>5.6283706095577406</v>
      </c>
      <c r="H53" s="109">
        <f t="shared" si="5"/>
        <v>15.420193450843126</v>
      </c>
      <c r="I53" s="105"/>
      <c r="J53" s="109">
        <f>IF(AND(Input!$B$17=Lists!$Q$37,Input!$B$13="Oil"),0,G53*Input!$B$32/1000)</f>
        <v>18.761047752838817</v>
      </c>
      <c r="K53" s="109">
        <f t="shared" si="6"/>
        <v>51.400130829695392</v>
      </c>
      <c r="L53" s="105"/>
      <c r="M53" s="109">
        <f t="shared" si="7"/>
        <v>365</v>
      </c>
      <c r="N53" s="109">
        <f t="shared" si="8"/>
        <v>1</v>
      </c>
      <c r="O53" s="105"/>
      <c r="P53" s="109">
        <f>IF(Input!$B$13="Oil",MIN('Sched &amp; Prod Assumptions'!$C$19*'Sched &amp; Prod Assumptions'!$B$15*G53,J53),G53*'Sched &amp; Prod Assumptions'!$C$18)</f>
        <v>0.81048536777631464</v>
      </c>
      <c r="Q53" s="109">
        <f>IF(Input!$B$13="Oil",IF(P53&lt;J53,0,Production!G53*'Sched &amp; Prod Assumptions'!$C$19-Production!P53/'Sched &amp; Prod Assumptions'!$C$17*Input!$B$31/1000),0)</f>
        <v>0</v>
      </c>
      <c r="R53" s="105"/>
      <c r="S53" s="109">
        <f t="shared" si="9"/>
        <v>17</v>
      </c>
      <c r="T53" s="391">
        <f>IF($S53=0,0,INDEX('Devel Overrides'!$O$28:$O$69,$S53+1,1)*$T$21+INDEX('Devel Overrides'!$O$28:$O$69,$S53,1)*$T$22)*'Sensitivity Ranges'!$F$41</f>
        <v>0</v>
      </c>
      <c r="U53" s="391">
        <f>IF($S53=0,0,INDEX('Devel Overrides'!$P$28:$P$69,$S53+1,1)*$T$21+INDEX('Devel Overrides'!$P$28:$P$69,$S53,1)*$T$22)*'Sensitivity Ranges'!$F$41</f>
        <v>0</v>
      </c>
      <c r="V53" s="391">
        <f>IF($S53=0,0,INDEX('Devel Overrides'!$Q$28:$Q$69,$S53+1,1)*$T$21+INDEX('Devel Overrides'!$Q$28:$Q$69,$S53,1)*$T$22)*'Sensitivity Ranges'!$F$41</f>
        <v>0</v>
      </c>
      <c r="W53" s="145"/>
      <c r="X53" s="109">
        <f>IF($T$20=1,T53,IF(Input!$B$13="Gas",G53,J53)-P53)</f>
        <v>17.950562385062501</v>
      </c>
      <c r="Y53" s="109">
        <f>IF($T$20=1,U53,IF(Input!$B$13="Gas",0,G53-Q53))</f>
        <v>5.6283706095577406</v>
      </c>
      <c r="Z53" s="109">
        <f>IF($T$20=1,V53,IF(Input!$B$13="Gas",J53,0))</f>
        <v>0</v>
      </c>
      <c r="AA53" s="145"/>
      <c r="AB53" s="109">
        <f>X53*Abandonment!$H38</f>
        <v>17.950562385062501</v>
      </c>
      <c r="AC53" s="109">
        <f>Y53*Abandonment!$H38</f>
        <v>5.6283706095577406</v>
      </c>
      <c r="AD53" s="109">
        <f>Z53*Abandonment!$H38</f>
        <v>0</v>
      </c>
      <c r="AE53" s="105"/>
      <c r="AF53" s="105"/>
      <c r="AG53" s="109">
        <f t="shared" ca="1" si="10"/>
        <v>17.950562385062501</v>
      </c>
      <c r="AH53" s="109">
        <f t="shared" ca="1" si="2"/>
        <v>5.6283706095577406</v>
      </c>
      <c r="AI53" s="109">
        <f t="shared" ca="1" si="2"/>
        <v>0</v>
      </c>
      <c r="AJ53" s="105"/>
      <c r="AK53" s="109">
        <f>X53*Abandonment!H38</f>
        <v>17.950562385062501</v>
      </c>
      <c r="AL53" s="109">
        <f>Y53*Abandonment!H38</f>
        <v>5.6283706095577406</v>
      </c>
      <c r="AM53" s="109">
        <f>Z53*Abandonment!H38</f>
        <v>0</v>
      </c>
      <c r="AN53" s="109">
        <f>AK53/'Sched &amp; Prod Assumptions'!$B$15+Production!AL53+AM53</f>
        <v>9.3680711064457611</v>
      </c>
      <c r="AO53" s="109">
        <f t="shared" si="11"/>
        <v>25.665948236837703</v>
      </c>
      <c r="AP53" s="64"/>
      <c r="AQ53" s="64"/>
      <c r="AR53" s="64"/>
      <c r="AS53" s="64"/>
      <c r="AT53" s="64"/>
      <c r="AU53" s="64"/>
      <c r="AV53" s="64"/>
      <c r="AW53" s="64"/>
      <c r="AX53" s="64"/>
      <c r="AY53" s="64"/>
      <c r="AZ53" s="64"/>
      <c r="BA53" s="64"/>
      <c r="BB53" s="64"/>
      <c r="BC53" s="64"/>
      <c r="BD53" s="64"/>
      <c r="BE53" s="64"/>
      <c r="BF53" s="64"/>
      <c r="BG53" s="64"/>
      <c r="BH53" s="64"/>
      <c r="BI53" s="64"/>
      <c r="BJ53" s="64"/>
      <c r="BK53" s="64"/>
      <c r="BL53" s="64"/>
      <c r="BM53" s="64"/>
      <c r="BN53" s="64"/>
      <c r="BO53" s="64"/>
      <c r="BP53" s="64"/>
      <c r="BQ53" s="64"/>
    </row>
    <row r="54" spans="1:69">
      <c r="A54" s="108">
        <f t="shared" si="12"/>
        <v>2046</v>
      </c>
      <c r="B54" s="108">
        <f t="shared" si="3"/>
        <v>365</v>
      </c>
      <c r="C54" s="109">
        <f t="shared" si="13"/>
        <v>0</v>
      </c>
      <c r="D54" s="109">
        <f t="shared" si="15"/>
        <v>0</v>
      </c>
      <c r="E54" s="109">
        <f t="shared" si="4"/>
        <v>4232.057142857142</v>
      </c>
      <c r="F54" s="109">
        <f t="shared" si="14"/>
        <v>4.7841150181240675</v>
      </c>
      <c r="G54" s="109">
        <f t="shared" si="1"/>
        <v>4.7841150181240675</v>
      </c>
      <c r="H54" s="109">
        <f t="shared" si="5"/>
        <v>13.107164433216623</v>
      </c>
      <c r="I54" s="105"/>
      <c r="J54" s="109">
        <f>IF(AND(Input!$B$17=Lists!$Q$37,Input!$B$13="Oil"),0,G54*Input!$B$32/1000)</f>
        <v>15.946890589912956</v>
      </c>
      <c r="K54" s="109">
        <f t="shared" si="6"/>
        <v>43.690111205240974</v>
      </c>
      <c r="L54" s="105"/>
      <c r="M54" s="109">
        <f t="shared" si="7"/>
        <v>365</v>
      </c>
      <c r="N54" s="109">
        <f t="shared" si="8"/>
        <v>1</v>
      </c>
      <c r="O54" s="105"/>
      <c r="P54" s="109">
        <f>IF(Input!$B$13="Oil",MIN('Sched &amp; Prod Assumptions'!$C$19*'Sched &amp; Prod Assumptions'!$B$15*G54,J54),G54*'Sched &amp; Prod Assumptions'!$C$18)</f>
        <v>0.68891256260986566</v>
      </c>
      <c r="Q54" s="109">
        <f>IF(Input!$B$13="Oil",IF(P54&lt;J54,0,Production!G54*'Sched &amp; Prod Assumptions'!$C$19-Production!P54/'Sched &amp; Prod Assumptions'!$C$17*Input!$B$31/1000),0)</f>
        <v>0</v>
      </c>
      <c r="R54" s="105"/>
      <c r="S54" s="109">
        <f t="shared" si="9"/>
        <v>18</v>
      </c>
      <c r="T54" s="391">
        <f>IF($S54=0,0,INDEX('Devel Overrides'!$O$28:$O$69,$S54+1,1)*$T$21+INDEX('Devel Overrides'!$O$28:$O$69,$S54,1)*$T$22)*'Sensitivity Ranges'!$F$41</f>
        <v>0</v>
      </c>
      <c r="U54" s="391">
        <f>IF($S54=0,0,INDEX('Devel Overrides'!$P$28:$P$69,$S54+1,1)*$T$21+INDEX('Devel Overrides'!$P$28:$P$69,$S54,1)*$T$22)*'Sensitivity Ranges'!$F$41</f>
        <v>0</v>
      </c>
      <c r="V54" s="391">
        <f>IF($S54=0,0,INDEX('Devel Overrides'!$Q$28:$Q$69,$S54+1,1)*$T$21+INDEX('Devel Overrides'!$Q$28:$Q$69,$S54,1)*$T$22)*'Sensitivity Ranges'!$F$41</f>
        <v>0</v>
      </c>
      <c r="W54" s="145"/>
      <c r="X54" s="109">
        <f>IF($T$20=1,T54,IF(Input!$B$13="Gas",G54,J54)-P54)</f>
        <v>15.257978027303089</v>
      </c>
      <c r="Y54" s="109">
        <f>IF($T$20=1,U54,IF(Input!$B$13="Gas",0,G54-Q54))</f>
        <v>4.7841150181240675</v>
      </c>
      <c r="Z54" s="109">
        <f>IF($T$20=1,V54,IF(Input!$B$13="Gas",J54,0))</f>
        <v>0</v>
      </c>
      <c r="AA54" s="145"/>
      <c r="AB54" s="109">
        <f>X54*Abandonment!$H39</f>
        <v>15.257978027303089</v>
      </c>
      <c r="AC54" s="109">
        <f>Y54*Abandonment!$H39</f>
        <v>4.7841150181240675</v>
      </c>
      <c r="AD54" s="109">
        <f>Z54*Abandonment!$H39</f>
        <v>0</v>
      </c>
      <c r="AE54" s="105"/>
      <c r="AF54" s="105"/>
      <c r="AG54" s="109">
        <f t="shared" ca="1" si="10"/>
        <v>15.257978027303089</v>
      </c>
      <c r="AH54" s="109">
        <f t="shared" ca="1" si="2"/>
        <v>4.7841150181240675</v>
      </c>
      <c r="AI54" s="109">
        <f t="shared" ca="1" si="2"/>
        <v>0</v>
      </c>
      <c r="AJ54" s="105"/>
      <c r="AK54" s="109">
        <f>X54*Abandonment!H39</f>
        <v>15.257978027303089</v>
      </c>
      <c r="AL54" s="109">
        <f>Y54*Abandonment!H39</f>
        <v>4.7841150181240675</v>
      </c>
      <c r="AM54" s="109">
        <f>Z54*Abandonment!H39</f>
        <v>0</v>
      </c>
      <c r="AN54" s="109">
        <f>AK54/'Sched &amp; Prod Assumptions'!$B$15+Production!AL54+AM54</f>
        <v>7.9628604404788774</v>
      </c>
      <c r="AO54" s="109">
        <f t="shared" si="11"/>
        <v>21.816056001311992</v>
      </c>
      <c r="AP54" s="64"/>
      <c r="AQ54" s="64"/>
      <c r="AR54" s="64"/>
      <c r="AS54" s="64"/>
      <c r="AT54" s="64"/>
      <c r="AU54" s="64"/>
      <c r="AV54" s="64"/>
      <c r="AW54" s="64"/>
      <c r="AX54" s="64"/>
      <c r="AY54" s="64"/>
      <c r="AZ54" s="64"/>
      <c r="BA54" s="64"/>
      <c r="BB54" s="64"/>
      <c r="BC54" s="64"/>
      <c r="BD54" s="64"/>
      <c r="BE54" s="64"/>
      <c r="BF54" s="64"/>
      <c r="BG54" s="64"/>
      <c r="BH54" s="64"/>
      <c r="BI54" s="64"/>
      <c r="BJ54" s="64"/>
      <c r="BK54" s="64"/>
      <c r="BL54" s="64"/>
      <c r="BM54" s="64"/>
      <c r="BN54" s="64"/>
      <c r="BO54" s="64"/>
      <c r="BP54" s="64"/>
      <c r="BQ54" s="64"/>
    </row>
    <row r="55" spans="1:69">
      <c r="A55" s="108">
        <f t="shared" si="12"/>
        <v>2047</v>
      </c>
      <c r="B55" s="108">
        <f t="shared" si="3"/>
        <v>365</v>
      </c>
      <c r="C55" s="109">
        <f t="shared" si="13"/>
        <v>0</v>
      </c>
      <c r="D55" s="109">
        <f t="shared" si="15"/>
        <v>0</v>
      </c>
      <c r="E55" s="109">
        <f t="shared" si="4"/>
        <v>4597.057142857142</v>
      </c>
      <c r="F55" s="109">
        <f t="shared" si="14"/>
        <v>4.0664977654054528</v>
      </c>
      <c r="G55" s="109">
        <f t="shared" si="1"/>
        <v>4.0664977654054528</v>
      </c>
      <c r="H55" s="109">
        <f t="shared" si="5"/>
        <v>11.141089768234117</v>
      </c>
      <c r="I55" s="105"/>
      <c r="J55" s="109">
        <f>IF(AND(Input!$B$17=Lists!$Q$37,Input!$B$13="Oil"),0,G55*Input!$B$32/1000)</f>
        <v>13.554857001425997</v>
      </c>
      <c r="K55" s="109">
        <f t="shared" si="6"/>
        <v>37.136594524454786</v>
      </c>
      <c r="L55" s="105"/>
      <c r="M55" s="109">
        <f t="shared" si="7"/>
        <v>365</v>
      </c>
      <c r="N55" s="109">
        <f t="shared" si="8"/>
        <v>1</v>
      </c>
      <c r="O55" s="105"/>
      <c r="P55" s="109">
        <f>IF(Input!$B$13="Oil",MIN('Sched &amp; Prod Assumptions'!$C$19*'Sched &amp; Prod Assumptions'!$B$15*G55,J55),G55*'Sched &amp; Prod Assumptions'!$C$18)</f>
        <v>0.58557567821838519</v>
      </c>
      <c r="Q55" s="109">
        <f>IF(Input!$B$13="Oil",IF(P55&lt;J55,0,Production!G55*'Sched &amp; Prod Assumptions'!$C$19-Production!P55/'Sched &amp; Prod Assumptions'!$C$17*Input!$B$31/1000),0)</f>
        <v>0</v>
      </c>
      <c r="R55" s="105"/>
      <c r="S55" s="109">
        <f t="shared" si="9"/>
        <v>19</v>
      </c>
      <c r="T55" s="391">
        <f>IF($S55=0,0,INDEX('Devel Overrides'!$O$28:$O$69,$S55+1,1)*$T$21+INDEX('Devel Overrides'!$O$28:$O$69,$S55,1)*$T$22)*'Sensitivity Ranges'!$F$41</f>
        <v>0</v>
      </c>
      <c r="U55" s="391">
        <f>IF($S55=0,0,INDEX('Devel Overrides'!$P$28:$P$69,$S55+1,1)*$T$21+INDEX('Devel Overrides'!$P$28:$P$69,$S55,1)*$T$22)*'Sensitivity Ranges'!$F$41</f>
        <v>0</v>
      </c>
      <c r="V55" s="391">
        <f>IF($S55=0,0,INDEX('Devel Overrides'!$Q$28:$Q$69,$S55+1,1)*$T$21+INDEX('Devel Overrides'!$Q$28:$Q$69,$S55,1)*$T$22)*'Sensitivity Ranges'!$F$41</f>
        <v>0</v>
      </c>
      <c r="W55" s="145"/>
      <c r="X55" s="109">
        <f>IF($T$20=1,T55,IF(Input!$B$13="Gas",G55,J55)-P55)</f>
        <v>12.969281323207612</v>
      </c>
      <c r="Y55" s="109">
        <f>IF($T$20=1,U55,IF(Input!$B$13="Gas",0,G55-Q55))</f>
        <v>4.0664977654054528</v>
      </c>
      <c r="Z55" s="109">
        <f>IF($T$20=1,V55,IF(Input!$B$13="Gas",J55,0))</f>
        <v>0</v>
      </c>
      <c r="AA55" s="145"/>
      <c r="AB55" s="109">
        <f>X55*Abandonment!$H40</f>
        <v>12.969281323207612</v>
      </c>
      <c r="AC55" s="109">
        <f>Y55*Abandonment!$H40</f>
        <v>4.0664977654054528</v>
      </c>
      <c r="AD55" s="109">
        <f>Z55*Abandonment!$H40</f>
        <v>0</v>
      </c>
      <c r="AE55" s="105"/>
      <c r="AF55" s="105"/>
      <c r="AG55" s="109">
        <f t="shared" ca="1" si="10"/>
        <v>12.969281323207612</v>
      </c>
      <c r="AH55" s="109">
        <f t="shared" ca="1" si="2"/>
        <v>4.0664977654054528</v>
      </c>
      <c r="AI55" s="109">
        <f t="shared" ca="1" si="2"/>
        <v>0</v>
      </c>
      <c r="AJ55" s="105"/>
      <c r="AK55" s="109">
        <f>X55*Abandonment!H40</f>
        <v>12.969281323207612</v>
      </c>
      <c r="AL55" s="109">
        <f>Y55*Abandonment!H40</f>
        <v>4.0664977654054528</v>
      </c>
      <c r="AM55" s="109">
        <f>Z55*Abandonment!H40</f>
        <v>0</v>
      </c>
      <c r="AN55" s="109">
        <f>AK55/'Sched &amp; Prod Assumptions'!$B$15+Production!AL55+AM55</f>
        <v>6.7684313744070383</v>
      </c>
      <c r="AO55" s="109">
        <f t="shared" si="11"/>
        <v>18.543647601115175</v>
      </c>
      <c r="AP55" s="64"/>
      <c r="AQ55" s="64"/>
      <c r="AR55" s="64"/>
      <c r="AS55" s="64"/>
      <c r="AT55" s="64"/>
      <c r="AU55" s="64"/>
      <c r="AV55" s="64"/>
      <c r="AW55" s="64"/>
      <c r="AX55" s="64"/>
      <c r="AY55" s="64"/>
      <c r="AZ55" s="64"/>
      <c r="BA55" s="64"/>
      <c r="BB55" s="64"/>
      <c r="BC55" s="64"/>
      <c r="BD55" s="64"/>
      <c r="BE55" s="64"/>
      <c r="BF55" s="64"/>
      <c r="BG55" s="64"/>
      <c r="BH55" s="64"/>
      <c r="BI55" s="64"/>
      <c r="BJ55" s="64"/>
      <c r="BK55" s="64"/>
      <c r="BL55" s="64"/>
      <c r="BM55" s="64"/>
      <c r="BN55" s="64"/>
      <c r="BO55" s="64"/>
      <c r="BP55" s="64"/>
      <c r="BQ55" s="64"/>
    </row>
    <row r="56" spans="1:69">
      <c r="A56" s="108">
        <f t="shared" si="12"/>
        <v>2048</v>
      </c>
      <c r="B56" s="108">
        <f t="shared" si="3"/>
        <v>366</v>
      </c>
      <c r="C56" s="109">
        <f t="shared" si="13"/>
        <v>0</v>
      </c>
      <c r="D56" s="109">
        <f t="shared" si="15"/>
        <v>0</v>
      </c>
      <c r="E56" s="109">
        <f t="shared" si="4"/>
        <v>4963.057142857142</v>
      </c>
      <c r="F56" s="109">
        <f t="shared" si="14"/>
        <v>3.4652423989008598</v>
      </c>
      <c r="G56" s="109">
        <f t="shared" si="1"/>
        <v>3.4652423989008598</v>
      </c>
      <c r="H56" s="109">
        <f t="shared" si="5"/>
        <v>9.4678754068329507</v>
      </c>
      <c r="I56" s="105"/>
      <c r="J56" s="109">
        <f>IF(AND(Input!$B$17=Lists!$Q$37,Input!$B$13="Oil"),0,G56*Input!$B$32/1000)</f>
        <v>11.550692488256237</v>
      </c>
      <c r="K56" s="109">
        <f t="shared" si="6"/>
        <v>31.559269093596278</v>
      </c>
      <c r="L56" s="105"/>
      <c r="M56" s="109">
        <f t="shared" si="7"/>
        <v>366</v>
      </c>
      <c r="N56" s="109">
        <f t="shared" si="8"/>
        <v>1</v>
      </c>
      <c r="O56" s="105"/>
      <c r="P56" s="109">
        <f>IF(Input!$B$13="Oil",MIN('Sched &amp; Prod Assumptions'!$C$19*'Sched &amp; Prod Assumptions'!$B$15*G56,J56),G56*'Sched &amp; Prod Assumptions'!$C$18)</f>
        <v>0.49899490544172376</v>
      </c>
      <c r="Q56" s="109">
        <f>IF(Input!$B$13="Oil",IF(P56&lt;J56,0,Production!G56*'Sched &amp; Prod Assumptions'!$C$19-Production!P56/'Sched &amp; Prod Assumptions'!$C$17*Input!$B$31/1000),0)</f>
        <v>0</v>
      </c>
      <c r="R56" s="105"/>
      <c r="S56" s="109">
        <f t="shared" si="9"/>
        <v>20</v>
      </c>
      <c r="T56" s="391">
        <f>IF($S56=0,0,INDEX('Devel Overrides'!$O$28:$O$69,$S56+1,1)*$T$21+INDEX('Devel Overrides'!$O$28:$O$69,$S56,1)*$T$22)*'Sensitivity Ranges'!$F$41</f>
        <v>0</v>
      </c>
      <c r="U56" s="391">
        <f>IF($S56=0,0,INDEX('Devel Overrides'!$P$28:$P$69,$S56+1,1)*$T$21+INDEX('Devel Overrides'!$P$28:$P$69,$S56,1)*$T$22)*'Sensitivity Ranges'!$F$41</f>
        <v>0</v>
      </c>
      <c r="V56" s="391">
        <f>IF($S56=0,0,INDEX('Devel Overrides'!$Q$28:$Q$69,$S56+1,1)*$T$21+INDEX('Devel Overrides'!$Q$28:$Q$69,$S56,1)*$T$22)*'Sensitivity Ranges'!$F$41</f>
        <v>0</v>
      </c>
      <c r="W56" s="145"/>
      <c r="X56" s="109">
        <f>IF($T$20=1,T56,IF(Input!$B$13="Gas",G56,J56)-P56)</f>
        <v>11.051697582814514</v>
      </c>
      <c r="Y56" s="109">
        <f>IF($T$20=1,U56,IF(Input!$B$13="Gas",0,G56-Q56))</f>
        <v>3.4652423989008598</v>
      </c>
      <c r="Z56" s="109">
        <f>IF($T$20=1,V56,IF(Input!$B$13="Gas",J56,0))</f>
        <v>0</v>
      </c>
      <c r="AA56" s="145"/>
      <c r="AB56" s="109">
        <f>X56*Abandonment!$H41</f>
        <v>11.051697582814514</v>
      </c>
      <c r="AC56" s="109">
        <f>Y56*Abandonment!$H41</f>
        <v>3.4652423989008598</v>
      </c>
      <c r="AD56" s="109">
        <f>Z56*Abandonment!$H41</f>
        <v>0</v>
      </c>
      <c r="AE56" s="105"/>
      <c r="AF56" s="105"/>
      <c r="AG56" s="109">
        <f t="shared" ca="1" si="10"/>
        <v>11.051697582814514</v>
      </c>
      <c r="AH56" s="109">
        <f t="shared" ca="1" si="2"/>
        <v>3.4652423989008598</v>
      </c>
      <c r="AI56" s="109">
        <f t="shared" ca="1" si="2"/>
        <v>0</v>
      </c>
      <c r="AJ56" s="105"/>
      <c r="AK56" s="109">
        <f>X56*Abandonment!H41</f>
        <v>11.051697582814514</v>
      </c>
      <c r="AL56" s="109">
        <f>Y56*Abandonment!H41</f>
        <v>3.4652423989008598</v>
      </c>
      <c r="AM56" s="109">
        <f>Z56*Abandonment!H41</f>
        <v>0</v>
      </c>
      <c r="AN56" s="109">
        <f>AK56/'Sched &amp; Prod Assumptions'!$B$15+Production!AL56+AM56</f>
        <v>5.7676793953205507</v>
      </c>
      <c r="AO56" s="109">
        <f t="shared" si="11"/>
        <v>15.801861357042606</v>
      </c>
      <c r="AP56" s="64"/>
      <c r="AQ56" s="64"/>
      <c r="AR56" s="64"/>
      <c r="AS56" s="64"/>
      <c r="AT56" s="64"/>
      <c r="AU56" s="64"/>
      <c r="AV56" s="64"/>
      <c r="AW56" s="64"/>
      <c r="AX56" s="64"/>
      <c r="AY56" s="64"/>
      <c r="AZ56" s="64"/>
      <c r="BA56" s="64"/>
      <c r="BB56" s="64"/>
      <c r="BC56" s="64"/>
      <c r="BD56" s="64"/>
      <c r="BE56" s="64"/>
      <c r="BF56" s="64"/>
      <c r="BG56" s="64"/>
      <c r="BH56" s="64"/>
      <c r="BI56" s="64"/>
      <c r="BJ56" s="64"/>
      <c r="BK56" s="64"/>
      <c r="BL56" s="64"/>
      <c r="BM56" s="64"/>
      <c r="BN56" s="64"/>
      <c r="BO56" s="64"/>
      <c r="BP56" s="64"/>
      <c r="BQ56" s="64"/>
    </row>
    <row r="57" spans="1:69">
      <c r="A57" s="108">
        <f t="shared" si="12"/>
        <v>2049</v>
      </c>
      <c r="B57" s="108">
        <f t="shared" si="3"/>
        <v>365</v>
      </c>
      <c r="C57" s="109">
        <f t="shared" si="13"/>
        <v>0</v>
      </c>
      <c r="D57" s="109">
        <f t="shared" si="15"/>
        <v>0</v>
      </c>
      <c r="E57" s="109">
        <f t="shared" si="4"/>
        <v>5328.057142857142</v>
      </c>
      <c r="F57" s="109">
        <f t="shared" si="14"/>
        <v>2.9367367407595086</v>
      </c>
      <c r="G57" s="109">
        <f t="shared" si="1"/>
        <v>2.9367367407595086</v>
      </c>
      <c r="H57" s="109">
        <f t="shared" si="5"/>
        <v>8.0458540842726265</v>
      </c>
      <c r="I57" s="105"/>
      <c r="J57" s="109">
        <f>IF(AND(Input!$B$17=Lists!$Q$37,Input!$B$13="Oil"),0,G57*Input!$B$32/1000)</f>
        <v>9.7890245779736702</v>
      </c>
      <c r="K57" s="109">
        <f t="shared" si="6"/>
        <v>26.819245419105947</v>
      </c>
      <c r="L57" s="105"/>
      <c r="M57" s="109">
        <f t="shared" si="7"/>
        <v>365</v>
      </c>
      <c r="N57" s="109">
        <f t="shared" si="8"/>
        <v>1</v>
      </c>
      <c r="O57" s="105"/>
      <c r="P57" s="109">
        <f>IF(Input!$B$13="Oil",MIN('Sched &amp; Prod Assumptions'!$C$19*'Sched &amp; Prod Assumptions'!$B$15*G57,J57),G57*'Sched &amp; Prod Assumptions'!$C$18)</f>
        <v>0.42289009066936922</v>
      </c>
      <c r="Q57" s="109">
        <f>IF(Input!$B$13="Oil",IF(P57&lt;J57,0,Production!G57*'Sched &amp; Prod Assumptions'!$C$19-Production!P57/'Sched &amp; Prod Assumptions'!$C$17*Input!$B$31/1000),0)</f>
        <v>0</v>
      </c>
      <c r="R57" s="105"/>
      <c r="S57" s="109">
        <f t="shared" si="9"/>
        <v>21</v>
      </c>
      <c r="T57" s="391">
        <f>IF($S57=0,0,INDEX('Devel Overrides'!$O$28:$O$69,$S57+1,1)*$T$21+INDEX('Devel Overrides'!$O$28:$O$69,$S57,1)*$T$22)*'Sensitivity Ranges'!$F$41</f>
        <v>0</v>
      </c>
      <c r="U57" s="391">
        <f>IF($S57=0,0,INDEX('Devel Overrides'!$P$28:$P$69,$S57+1,1)*$T$21+INDEX('Devel Overrides'!$P$28:$P$69,$S57,1)*$T$22)*'Sensitivity Ranges'!$F$41</f>
        <v>0</v>
      </c>
      <c r="V57" s="391">
        <f>IF($S57=0,0,INDEX('Devel Overrides'!$Q$28:$Q$69,$S57+1,1)*$T$21+INDEX('Devel Overrides'!$Q$28:$Q$69,$S57,1)*$T$22)*'Sensitivity Ranges'!$F$41</f>
        <v>0</v>
      </c>
      <c r="W57" s="145"/>
      <c r="X57" s="109">
        <f>IF($T$20=1,T57,IF(Input!$B$13="Gas",G57,J57)-P57)</f>
        <v>9.3661344873043006</v>
      </c>
      <c r="Y57" s="109">
        <f>IF($T$20=1,U57,IF(Input!$B$13="Gas",0,G57-Q57))</f>
        <v>2.9367367407595086</v>
      </c>
      <c r="Z57" s="109">
        <f>IF($T$20=1,V57,IF(Input!$B$13="Gas",J57,0))</f>
        <v>0</v>
      </c>
      <c r="AA57" s="145"/>
      <c r="AB57" s="109">
        <f>X57*Abandonment!$H42</f>
        <v>9.3661344873043006</v>
      </c>
      <c r="AC57" s="109">
        <f>Y57*Abandonment!$H42</f>
        <v>2.9367367407595086</v>
      </c>
      <c r="AD57" s="109">
        <f>Z57*Abandonment!$H42</f>
        <v>0</v>
      </c>
      <c r="AE57" s="105"/>
      <c r="AF57" s="105"/>
      <c r="AG57" s="109">
        <f t="shared" ca="1" si="10"/>
        <v>9.3661344873043006</v>
      </c>
      <c r="AH57" s="109">
        <f t="shared" ca="1" si="2"/>
        <v>2.9367367407595086</v>
      </c>
      <c r="AI57" s="109">
        <f t="shared" ca="1" si="2"/>
        <v>0</v>
      </c>
      <c r="AJ57" s="105"/>
      <c r="AK57" s="109">
        <f>X57*Abandonment!H42</f>
        <v>9.3661344873043006</v>
      </c>
      <c r="AL57" s="109">
        <f>Y57*Abandonment!H42</f>
        <v>2.9367367407595086</v>
      </c>
      <c r="AM57" s="109">
        <f>Z57*Abandonment!H42</f>
        <v>0</v>
      </c>
      <c r="AN57" s="109">
        <f>AK57/'Sched &amp; Prod Assumptions'!$B$15+Production!AL57+AM57</f>
        <v>4.8880147589479046</v>
      </c>
      <c r="AO57" s="109">
        <f t="shared" si="11"/>
        <v>13.39182125739152</v>
      </c>
      <c r="AP57" s="64"/>
      <c r="AQ57" s="64"/>
      <c r="AR57" s="64"/>
      <c r="AS57" s="64"/>
      <c r="AT57" s="64"/>
      <c r="AU57" s="64"/>
      <c r="AV57" s="64"/>
      <c r="AW57" s="64"/>
      <c r="AX57" s="64"/>
      <c r="AY57" s="64"/>
      <c r="AZ57" s="64"/>
      <c r="BA57" s="64"/>
      <c r="BB57" s="64"/>
      <c r="BC57" s="64"/>
      <c r="BD57" s="64"/>
      <c r="BE57" s="64"/>
      <c r="BF57" s="64"/>
      <c r="BG57" s="64"/>
      <c r="BH57" s="64"/>
      <c r="BI57" s="64"/>
      <c r="BJ57" s="64"/>
      <c r="BK57" s="64"/>
      <c r="BL57" s="64"/>
      <c r="BM57" s="64"/>
      <c r="BN57" s="64"/>
      <c r="BO57" s="64"/>
      <c r="BP57" s="64"/>
      <c r="BQ57" s="64"/>
    </row>
    <row r="58" spans="1:69">
      <c r="A58" s="108">
        <f t="shared" si="12"/>
        <v>2050</v>
      </c>
      <c r="B58" s="108">
        <f t="shared" si="3"/>
        <v>365</v>
      </c>
      <c r="C58" s="109">
        <f t="shared" si="13"/>
        <v>0</v>
      </c>
      <c r="D58" s="109">
        <f t="shared" si="15"/>
        <v>0</v>
      </c>
      <c r="E58" s="109">
        <f t="shared" si="4"/>
        <v>5693.057142857142</v>
      </c>
      <c r="F58" s="109">
        <f t="shared" si="14"/>
        <v>2.4962262296455897</v>
      </c>
      <c r="G58" s="109">
        <f t="shared" si="1"/>
        <v>2.4962262296455897</v>
      </c>
      <c r="H58" s="109">
        <f t="shared" si="5"/>
        <v>6.8389759716317524</v>
      </c>
      <c r="I58" s="105"/>
      <c r="J58" s="109">
        <f>IF(AND(Input!$B$17=Lists!$Q$37,Input!$B$13="Oil"),0,G58*Input!$B$32/1000)</f>
        <v>8.3206708912776453</v>
      </c>
      <c r="K58" s="109">
        <f t="shared" si="6"/>
        <v>22.796358606240123</v>
      </c>
      <c r="L58" s="105"/>
      <c r="M58" s="109">
        <f t="shared" si="7"/>
        <v>365</v>
      </c>
      <c r="N58" s="109">
        <f t="shared" si="8"/>
        <v>1</v>
      </c>
      <c r="O58" s="105"/>
      <c r="P58" s="109">
        <f>IF(Input!$B$13="Oil",MIN('Sched &amp; Prod Assumptions'!$C$19*'Sched &amp; Prod Assumptions'!$B$15*G58,J58),G58*'Sched &amp; Prod Assumptions'!$C$18)</f>
        <v>0.35945657706896489</v>
      </c>
      <c r="Q58" s="109">
        <f>IF(Input!$B$13="Oil",IF(P58&lt;J58,0,Production!G58*'Sched &amp; Prod Assumptions'!$C$19-Production!P58/'Sched &amp; Prod Assumptions'!$C$17*Input!$B$31/1000),0)</f>
        <v>0</v>
      </c>
      <c r="R58" s="105"/>
      <c r="S58" s="109">
        <f t="shared" si="9"/>
        <v>22</v>
      </c>
      <c r="T58" s="391">
        <f>IF($S58=0,0,INDEX('Devel Overrides'!$O$28:$O$69,$S58+1,1)*$T$21+INDEX('Devel Overrides'!$O$28:$O$69,$S58,1)*$T$22)*'Sensitivity Ranges'!$F$41</f>
        <v>0</v>
      </c>
      <c r="U58" s="391">
        <f>IF($S58=0,0,INDEX('Devel Overrides'!$P$28:$P$69,$S58+1,1)*$T$21+INDEX('Devel Overrides'!$P$28:$P$69,$S58,1)*$T$22)*'Sensitivity Ranges'!$F$41</f>
        <v>0</v>
      </c>
      <c r="V58" s="391">
        <f>IF($S58=0,0,INDEX('Devel Overrides'!$Q$28:$Q$69,$S58+1,1)*$T$21+INDEX('Devel Overrides'!$Q$28:$Q$69,$S58,1)*$T$22)*'Sensitivity Ranges'!$F$41</f>
        <v>0</v>
      </c>
      <c r="W58" s="145"/>
      <c r="X58" s="109">
        <f>IF($T$20=1,T58,IF(Input!$B$13="Gas",G58,J58)-P58)</f>
        <v>7.9612143142086804</v>
      </c>
      <c r="Y58" s="109">
        <f>IF($T$20=1,U58,IF(Input!$B$13="Gas",0,G58-Q58))</f>
        <v>2.4962262296455897</v>
      </c>
      <c r="Z58" s="109">
        <f>IF($T$20=1,V58,IF(Input!$B$13="Gas",J58,0))</f>
        <v>0</v>
      </c>
      <c r="AA58" s="145"/>
      <c r="AB58" s="109">
        <f>X58*Abandonment!$H43</f>
        <v>7.9612143142086804</v>
      </c>
      <c r="AC58" s="109">
        <f>Y58*Abandonment!$H43</f>
        <v>2.4962262296455897</v>
      </c>
      <c r="AD58" s="109">
        <f>Z58*Abandonment!$H43</f>
        <v>0</v>
      </c>
      <c r="AE58" s="105"/>
      <c r="AF58" s="105"/>
      <c r="AG58" s="109">
        <f t="shared" ca="1" si="10"/>
        <v>7.9612143142086804</v>
      </c>
      <c r="AH58" s="109">
        <f t="shared" ca="1" si="2"/>
        <v>2.4962262296455897</v>
      </c>
      <c r="AI58" s="109">
        <f t="shared" ca="1" si="2"/>
        <v>0</v>
      </c>
      <c r="AJ58" s="105"/>
      <c r="AK58" s="109">
        <f>X58*Abandonment!H43</f>
        <v>7.9612143142086804</v>
      </c>
      <c r="AL58" s="109">
        <f>Y58*Abandonment!H43</f>
        <v>2.4962262296455897</v>
      </c>
      <c r="AM58" s="109">
        <f>Z58*Abandonment!H43</f>
        <v>0</v>
      </c>
      <c r="AN58" s="109">
        <f>AK58/'Sched &amp; Prod Assumptions'!$B$15+Production!AL58+AM58</f>
        <v>4.1548125451057318</v>
      </c>
      <c r="AO58" s="109">
        <f t="shared" si="11"/>
        <v>11.383048068782827</v>
      </c>
      <c r="AP58" s="64"/>
      <c r="AQ58" s="64"/>
      <c r="AR58" s="64"/>
      <c r="AS58" s="64"/>
      <c r="AT58" s="64"/>
      <c r="AU58" s="64"/>
      <c r="AV58" s="64"/>
      <c r="AW58" s="64"/>
      <c r="AX58" s="64"/>
      <c r="AY58" s="64"/>
      <c r="AZ58" s="64"/>
      <c r="BA58" s="64"/>
      <c r="BB58" s="64"/>
      <c r="BC58" s="64"/>
      <c r="BD58" s="64"/>
      <c r="BE58" s="64"/>
      <c r="BF58" s="64"/>
      <c r="BG58" s="64"/>
      <c r="BH58" s="64"/>
      <c r="BI58" s="64"/>
      <c r="BJ58" s="64"/>
      <c r="BK58" s="64"/>
      <c r="BL58" s="64"/>
      <c r="BM58" s="64"/>
      <c r="BN58" s="64"/>
      <c r="BO58" s="64"/>
      <c r="BP58" s="64"/>
      <c r="BQ58" s="64"/>
    </row>
    <row r="59" spans="1:69">
      <c r="A59" s="108">
        <f t="shared" si="12"/>
        <v>2051</v>
      </c>
      <c r="B59" s="108">
        <f t="shared" si="3"/>
        <v>365</v>
      </c>
      <c r="C59" s="109">
        <f t="shared" si="13"/>
        <v>0</v>
      </c>
      <c r="D59" s="109">
        <f t="shared" si="15"/>
        <v>0</v>
      </c>
      <c r="E59" s="109">
        <f t="shared" si="4"/>
        <v>6058.057142857142</v>
      </c>
      <c r="F59" s="109">
        <f t="shared" si="14"/>
        <v>2.1217922951987491</v>
      </c>
      <c r="G59" s="109">
        <f t="shared" si="1"/>
        <v>2.1217922951987491</v>
      </c>
      <c r="H59" s="109">
        <f t="shared" si="5"/>
        <v>5.8131295758869843</v>
      </c>
      <c r="I59" s="105"/>
      <c r="J59" s="109">
        <f>IF(AND(Input!$B$17=Lists!$Q$37,Input!$B$13="Oil"),0,G59*Input!$B$32/1000)</f>
        <v>7.0725702575859906</v>
      </c>
      <c r="K59" s="109">
        <f t="shared" si="6"/>
        <v>19.376904815304083</v>
      </c>
      <c r="L59" s="105"/>
      <c r="M59" s="109">
        <f t="shared" si="7"/>
        <v>365</v>
      </c>
      <c r="N59" s="109">
        <f t="shared" si="8"/>
        <v>1</v>
      </c>
      <c r="O59" s="105"/>
      <c r="P59" s="109">
        <f>IF(Input!$B$13="Oil",MIN('Sched &amp; Prod Assumptions'!$C$19*'Sched &amp; Prod Assumptions'!$B$15*G59,J59),G59*'Sched &amp; Prod Assumptions'!$C$18)</f>
        <v>0.30553809050861985</v>
      </c>
      <c r="Q59" s="109">
        <f>IF(Input!$B$13="Oil",IF(P59&lt;J59,0,Production!G59*'Sched &amp; Prod Assumptions'!$C$19-Production!P59/'Sched &amp; Prod Assumptions'!$C$17*Input!$B$31/1000),0)</f>
        <v>0</v>
      </c>
      <c r="R59" s="105"/>
      <c r="S59" s="109">
        <f t="shared" si="9"/>
        <v>23</v>
      </c>
      <c r="T59" s="391">
        <f>IF($S59=0,0,INDEX('Devel Overrides'!$O$28:$O$69,$S59+1,1)*$T$21+INDEX('Devel Overrides'!$O$28:$O$69,$S59,1)*$T$22)*'Sensitivity Ranges'!$F$41</f>
        <v>0</v>
      </c>
      <c r="U59" s="391">
        <f>IF($S59=0,0,INDEX('Devel Overrides'!$P$28:$P$69,$S59+1,1)*$T$21+INDEX('Devel Overrides'!$P$28:$P$69,$S59,1)*$T$22)*'Sensitivity Ranges'!$F$41</f>
        <v>0</v>
      </c>
      <c r="V59" s="391">
        <f>IF($S59=0,0,INDEX('Devel Overrides'!$Q$28:$Q$69,$S59+1,1)*$T$21+INDEX('Devel Overrides'!$Q$28:$Q$69,$S59,1)*$T$22)*'Sensitivity Ranges'!$F$41</f>
        <v>0</v>
      </c>
      <c r="W59" s="145"/>
      <c r="X59" s="109">
        <f>IF($T$20=1,T59,IF(Input!$B$13="Gas",G59,J59)-P59)</f>
        <v>6.767032167077371</v>
      </c>
      <c r="Y59" s="109">
        <f>IF($T$20=1,U59,IF(Input!$B$13="Gas",0,G59-Q59))</f>
        <v>2.1217922951987491</v>
      </c>
      <c r="Z59" s="109">
        <f>IF($T$20=1,V59,IF(Input!$B$13="Gas",J59,0))</f>
        <v>0</v>
      </c>
      <c r="AA59" s="145"/>
      <c r="AB59" s="109">
        <f>X59*Abandonment!$H44</f>
        <v>6.767032167077371</v>
      </c>
      <c r="AC59" s="109">
        <f>Y59*Abandonment!$H44</f>
        <v>2.1217922951987491</v>
      </c>
      <c r="AD59" s="109">
        <f>Z59*Abandonment!$H44</f>
        <v>0</v>
      </c>
      <c r="AE59" s="105"/>
      <c r="AF59" s="105"/>
      <c r="AG59" s="109">
        <f t="shared" ca="1" si="10"/>
        <v>6.767032167077371</v>
      </c>
      <c r="AH59" s="109">
        <f t="shared" ca="1" si="2"/>
        <v>2.1217922951987491</v>
      </c>
      <c r="AI59" s="109">
        <f t="shared" ca="1" si="2"/>
        <v>0</v>
      </c>
      <c r="AJ59" s="105"/>
      <c r="AK59" s="109">
        <f>X59*Abandonment!H44</f>
        <v>6.767032167077371</v>
      </c>
      <c r="AL59" s="109">
        <f>Y59*Abandonment!H44</f>
        <v>2.1217922951987491</v>
      </c>
      <c r="AM59" s="109">
        <f>Z59*Abandonment!H44</f>
        <v>0</v>
      </c>
      <c r="AN59" s="109">
        <f>AK59/'Sched &amp; Prod Assumptions'!$B$15+Production!AL59+AM59</f>
        <v>3.5315906633398679</v>
      </c>
      <c r="AO59" s="109">
        <f t="shared" si="11"/>
        <v>9.6755908584653927</v>
      </c>
      <c r="AP59" s="64"/>
      <c r="AQ59" s="64"/>
      <c r="AR59" s="64"/>
      <c r="AS59" s="64"/>
      <c r="AT59" s="64"/>
      <c r="AU59" s="64"/>
      <c r="AV59" s="64"/>
      <c r="AW59" s="64"/>
      <c r="AX59" s="64"/>
      <c r="AY59" s="64"/>
      <c r="AZ59" s="64"/>
      <c r="BA59" s="64"/>
      <c r="BB59" s="64"/>
      <c r="BC59" s="64"/>
      <c r="BD59" s="64"/>
      <c r="BE59" s="64"/>
      <c r="BF59" s="64"/>
      <c r="BG59" s="64"/>
      <c r="BH59" s="64"/>
      <c r="BI59" s="64"/>
      <c r="BJ59" s="64"/>
      <c r="BK59" s="64"/>
      <c r="BL59" s="64"/>
      <c r="BM59" s="64"/>
      <c r="BN59" s="64"/>
      <c r="BO59" s="64"/>
      <c r="BP59" s="64"/>
      <c r="BQ59" s="64"/>
    </row>
    <row r="60" spans="1:69">
      <c r="A60" s="108">
        <f t="shared" si="12"/>
        <v>2052</v>
      </c>
      <c r="B60" s="108">
        <f t="shared" si="3"/>
        <v>366</v>
      </c>
      <c r="C60" s="109">
        <f t="shared" si="13"/>
        <v>0</v>
      </c>
      <c r="D60" s="109">
        <f t="shared" si="15"/>
        <v>0</v>
      </c>
      <c r="E60" s="109">
        <f t="shared" si="4"/>
        <v>6424.057142857142</v>
      </c>
      <c r="F60" s="109">
        <f t="shared" si="14"/>
        <v>1.8080729529801538</v>
      </c>
      <c r="G60" s="109">
        <f t="shared" si="1"/>
        <v>1.8080729529801538</v>
      </c>
      <c r="H60" s="109">
        <f t="shared" si="5"/>
        <v>4.9400900354649009</v>
      </c>
      <c r="I60" s="105"/>
      <c r="J60" s="109">
        <f>IF(AND(Input!$B$17=Lists!$Q$37,Input!$B$13="Oil"),0,G60*Input!$B$32/1000)</f>
        <v>6.0268495741687467</v>
      </c>
      <c r="K60" s="109">
        <f t="shared" si="6"/>
        <v>16.466802115215156</v>
      </c>
      <c r="L60" s="105"/>
      <c r="M60" s="109">
        <f t="shared" si="7"/>
        <v>366</v>
      </c>
      <c r="N60" s="109">
        <f t="shared" si="8"/>
        <v>1</v>
      </c>
      <c r="O60" s="105"/>
      <c r="P60" s="109">
        <f>IF(Input!$B$13="Oil",MIN('Sched &amp; Prod Assumptions'!$C$19*'Sched &amp; Prod Assumptions'!$B$15*G60,J60),G60*'Sched &amp; Prod Assumptions'!$C$18)</f>
        <v>0.26036250522914212</v>
      </c>
      <c r="Q60" s="109">
        <f>IF(Input!$B$13="Oil",IF(P60&lt;J60,0,Production!G60*'Sched &amp; Prod Assumptions'!$C$19-Production!P60/'Sched &amp; Prod Assumptions'!$C$17*Input!$B$31/1000),0)</f>
        <v>0</v>
      </c>
      <c r="R60" s="105"/>
      <c r="S60" s="109">
        <f t="shared" si="9"/>
        <v>24</v>
      </c>
      <c r="T60" s="391">
        <f>IF($S60=0,0,INDEX('Devel Overrides'!$O$28:$O$69,$S60+1,1)*$T$21+INDEX('Devel Overrides'!$O$28:$O$69,$S60,1)*$T$22)*'Sensitivity Ranges'!$F$41</f>
        <v>0</v>
      </c>
      <c r="U60" s="391">
        <f>IF($S60=0,0,INDEX('Devel Overrides'!$P$28:$P$69,$S60+1,1)*$T$21+INDEX('Devel Overrides'!$P$28:$P$69,$S60,1)*$T$22)*'Sensitivity Ranges'!$F$41</f>
        <v>0</v>
      </c>
      <c r="V60" s="391">
        <f>IF($S60=0,0,INDEX('Devel Overrides'!$Q$28:$Q$69,$S60+1,1)*$T$21+INDEX('Devel Overrides'!$Q$28:$Q$69,$S60,1)*$T$22)*'Sensitivity Ranges'!$F$41</f>
        <v>0</v>
      </c>
      <c r="W60" s="145"/>
      <c r="X60" s="109">
        <f>IF($T$20=1,T60,IF(Input!$B$13="Gas",G60,J60)-P60)</f>
        <v>5.7664870689396048</v>
      </c>
      <c r="Y60" s="109">
        <f>IF($T$20=1,U60,IF(Input!$B$13="Gas",0,G60-Q60))</f>
        <v>1.8080729529801538</v>
      </c>
      <c r="Z60" s="109">
        <f>IF($T$20=1,V60,IF(Input!$B$13="Gas",J60,0))</f>
        <v>0</v>
      </c>
      <c r="AA60" s="145"/>
      <c r="AB60" s="109">
        <f>X60*Abandonment!$H45</f>
        <v>5.7664870689396048</v>
      </c>
      <c r="AC60" s="109">
        <f>Y60*Abandonment!$H45</f>
        <v>1.8080729529801538</v>
      </c>
      <c r="AD60" s="109">
        <f>Z60*Abandonment!$H45</f>
        <v>0</v>
      </c>
      <c r="AE60" s="105"/>
      <c r="AF60" s="105"/>
      <c r="AG60" s="109">
        <f t="shared" ca="1" si="10"/>
        <v>5.7664870689396048</v>
      </c>
      <c r="AH60" s="109">
        <f t="shared" ca="1" si="2"/>
        <v>1.8080729529801538</v>
      </c>
      <c r="AI60" s="109">
        <f t="shared" ca="1" si="2"/>
        <v>0</v>
      </c>
      <c r="AJ60" s="105"/>
      <c r="AK60" s="109">
        <f>X60*Abandonment!H45</f>
        <v>5.7664870689396048</v>
      </c>
      <c r="AL60" s="109">
        <f>Y60*Abandonment!H45</f>
        <v>1.8080729529801538</v>
      </c>
      <c r="AM60" s="109">
        <f>Z60*Abandonment!H45</f>
        <v>0</v>
      </c>
      <c r="AN60" s="109">
        <f>AK60/'Sched &amp; Prod Assumptions'!$B$15+Production!AL60+AM60</f>
        <v>3.0094244256759048</v>
      </c>
      <c r="AO60" s="109">
        <f t="shared" si="11"/>
        <v>8.2449984265093281</v>
      </c>
      <c r="AP60" s="64"/>
      <c r="AQ60" s="64"/>
      <c r="AR60" s="64"/>
      <c r="AS60" s="64"/>
      <c r="AT60" s="64"/>
      <c r="AU60" s="64"/>
      <c r="AV60" s="64"/>
      <c r="AW60" s="64"/>
      <c r="AX60" s="64"/>
      <c r="AY60" s="64"/>
      <c r="AZ60" s="64"/>
      <c r="BA60" s="64"/>
      <c r="BB60" s="64"/>
      <c r="BC60" s="64"/>
      <c r="BD60" s="64"/>
      <c r="BE60" s="64"/>
      <c r="BF60" s="64"/>
      <c r="BG60" s="64"/>
      <c r="BH60" s="64"/>
      <c r="BI60" s="64"/>
      <c r="BJ60" s="64"/>
      <c r="BK60" s="64"/>
      <c r="BL60" s="64"/>
      <c r="BM60" s="64"/>
      <c r="BN60" s="64"/>
      <c r="BO60" s="64"/>
      <c r="BP60" s="64"/>
      <c r="BQ60" s="64"/>
    </row>
    <row r="61" spans="1:69">
      <c r="A61" s="108">
        <f t="shared" si="12"/>
        <v>2053</v>
      </c>
      <c r="B61" s="108">
        <f t="shared" si="3"/>
        <v>365</v>
      </c>
      <c r="C61" s="109">
        <f t="shared" si="13"/>
        <v>0</v>
      </c>
      <c r="D61" s="109">
        <f t="shared" si="15"/>
        <v>0</v>
      </c>
      <c r="E61" s="109">
        <f t="shared" si="4"/>
        <v>6789.057142857142</v>
      </c>
      <c r="F61" s="109">
        <f t="shared" si="14"/>
        <v>1.5323125079719147</v>
      </c>
      <c r="G61" s="109">
        <f t="shared" si="1"/>
        <v>1.5323125079719147</v>
      </c>
      <c r="H61" s="109">
        <f t="shared" si="5"/>
        <v>4.198116460197026</v>
      </c>
      <c r="I61" s="105"/>
      <c r="J61" s="109">
        <f>IF(AND(Input!$B$17=Lists!$Q$37,Input!$B$13="Oil"),0,G61*Input!$B$32/1000)</f>
        <v>5.1076572828227835</v>
      </c>
      <c r="K61" s="109">
        <f t="shared" si="6"/>
        <v>13.993581596774749</v>
      </c>
      <c r="L61" s="105"/>
      <c r="M61" s="109">
        <f t="shared" si="7"/>
        <v>365</v>
      </c>
      <c r="N61" s="109">
        <f t="shared" si="8"/>
        <v>1</v>
      </c>
      <c r="O61" s="105"/>
      <c r="P61" s="109">
        <f>IF(Input!$B$13="Oil",MIN('Sched &amp; Prod Assumptions'!$C$19*'Sched &amp; Prod Assumptions'!$B$15*G61,J61),G61*'Sched &amp; Prod Assumptions'!$C$18)</f>
        <v>0.22065300114795569</v>
      </c>
      <c r="Q61" s="109">
        <f>IF(Input!$B$13="Oil",IF(P61&lt;J61,0,Production!G61*'Sched &amp; Prod Assumptions'!$C$19-Production!P61/'Sched &amp; Prod Assumptions'!$C$17*Input!$B$31/1000),0)</f>
        <v>0</v>
      </c>
      <c r="R61" s="105"/>
      <c r="S61" s="109">
        <f t="shared" si="9"/>
        <v>25</v>
      </c>
      <c r="T61" s="391">
        <f>IF($S61=0,0,INDEX('Devel Overrides'!$O$28:$O$69,$S61+1,1)*$T$21+INDEX('Devel Overrides'!$O$28:$O$69,$S61,1)*$T$22)*'Sensitivity Ranges'!$F$41</f>
        <v>0</v>
      </c>
      <c r="U61" s="391">
        <f>IF($S61=0,0,INDEX('Devel Overrides'!$P$28:$P$69,$S61+1,1)*$T$21+INDEX('Devel Overrides'!$P$28:$P$69,$S61,1)*$T$22)*'Sensitivity Ranges'!$F$41</f>
        <v>0</v>
      </c>
      <c r="V61" s="391">
        <f>IF($S61=0,0,INDEX('Devel Overrides'!$Q$28:$Q$69,$S61+1,1)*$T$21+INDEX('Devel Overrides'!$Q$28:$Q$69,$S61,1)*$T$22)*'Sensitivity Ranges'!$F$41</f>
        <v>0</v>
      </c>
      <c r="W61" s="145"/>
      <c r="X61" s="109">
        <f>IF($T$20=1,T61,IF(Input!$B$13="Gas",G61,J61)-P61)</f>
        <v>4.8870042816748276</v>
      </c>
      <c r="Y61" s="109">
        <f>IF($T$20=1,U61,IF(Input!$B$13="Gas",0,G61-Q61))</f>
        <v>1.5323125079719147</v>
      </c>
      <c r="Z61" s="109">
        <f>IF($T$20=1,V61,IF(Input!$B$13="Gas",J61,0))</f>
        <v>0</v>
      </c>
      <c r="AA61" s="145"/>
      <c r="AB61" s="109">
        <f>X61*Abandonment!$H46</f>
        <v>4.8870042816748276</v>
      </c>
      <c r="AC61" s="109">
        <f>Y61*Abandonment!$H46</f>
        <v>1.5323125079719147</v>
      </c>
      <c r="AD61" s="109">
        <f>Z61*Abandonment!$H46</f>
        <v>0</v>
      </c>
      <c r="AE61" s="105"/>
      <c r="AF61" s="105"/>
      <c r="AG61" s="109">
        <f t="shared" ca="1" si="10"/>
        <v>4.8870042816748276</v>
      </c>
      <c r="AH61" s="109">
        <f t="shared" ca="1" si="2"/>
        <v>1.5323125079719147</v>
      </c>
      <c r="AI61" s="109">
        <f t="shared" ca="1" si="2"/>
        <v>0</v>
      </c>
      <c r="AJ61" s="105"/>
      <c r="AK61" s="109">
        <f>X61*Abandonment!H46</f>
        <v>4.8870042816748276</v>
      </c>
      <c r="AL61" s="109">
        <f>Y61*Abandonment!H46</f>
        <v>1.5323125079719147</v>
      </c>
      <c r="AM61" s="109">
        <f>Z61*Abandonment!H46</f>
        <v>0</v>
      </c>
      <c r="AN61" s="109">
        <f>AK61/'Sched &amp; Prod Assumptions'!$B$15+Production!AL61+AM61</f>
        <v>2.5504383999875038</v>
      </c>
      <c r="AO61" s="109">
        <f t="shared" si="11"/>
        <v>6.9875024657191886</v>
      </c>
      <c r="AP61" s="64"/>
      <c r="AQ61" s="122"/>
      <c r="AR61" s="64"/>
      <c r="AS61" s="64"/>
      <c r="AT61" s="64"/>
      <c r="AU61" s="64"/>
      <c r="AV61" s="64"/>
      <c r="AW61" s="64"/>
      <c r="AX61" s="64"/>
      <c r="AY61" s="64"/>
      <c r="AZ61" s="64"/>
      <c r="BA61" s="64"/>
      <c r="BB61" s="64"/>
      <c r="BC61" s="64"/>
      <c r="BD61" s="64"/>
      <c r="BE61" s="64"/>
      <c r="BF61" s="64"/>
      <c r="BG61" s="64"/>
      <c r="BH61" s="64"/>
      <c r="BI61" s="64"/>
      <c r="BJ61" s="64"/>
      <c r="BK61" s="64"/>
      <c r="BL61" s="64"/>
      <c r="BM61" s="64"/>
      <c r="BN61" s="64"/>
      <c r="BO61" s="64"/>
      <c r="BP61" s="64"/>
      <c r="BQ61" s="64"/>
    </row>
    <row r="62" spans="1:69">
      <c r="A62" s="108">
        <f t="shared" si="12"/>
        <v>2054</v>
      </c>
      <c r="B62" s="108">
        <f t="shared" si="3"/>
        <v>365</v>
      </c>
      <c r="C62" s="109">
        <f t="shared" si="13"/>
        <v>0</v>
      </c>
      <c r="D62" s="109">
        <f t="shared" si="15"/>
        <v>0</v>
      </c>
      <c r="E62" s="109">
        <f t="shared" si="4"/>
        <v>7154.057142857142</v>
      </c>
      <c r="F62" s="109">
        <f t="shared" si="14"/>
        <v>1.3024656317761225</v>
      </c>
      <c r="G62" s="109">
        <f t="shared" si="1"/>
        <v>1.3024656317761225</v>
      </c>
      <c r="H62" s="109">
        <f t="shared" si="5"/>
        <v>3.568398991167459</v>
      </c>
      <c r="I62" s="105"/>
      <c r="J62" s="109">
        <f>IF(AND(Input!$B$17=Lists!$Q$37,Input!$B$13="Oil"),0,G62*Input!$B$32/1000)</f>
        <v>4.3415086903993494</v>
      </c>
      <c r="K62" s="109">
        <f t="shared" si="6"/>
        <v>11.894544357258491</v>
      </c>
      <c r="L62" s="105"/>
      <c r="M62" s="109">
        <f t="shared" si="7"/>
        <v>365</v>
      </c>
      <c r="N62" s="109">
        <f t="shared" si="8"/>
        <v>1</v>
      </c>
      <c r="O62" s="105"/>
      <c r="P62" s="109">
        <f>IF(Input!$B$13="Oil",MIN('Sched &amp; Prod Assumptions'!$C$19*'Sched &amp; Prod Assumptions'!$B$15*G62,J62),G62*'Sched &amp; Prod Assumptions'!$C$18)</f>
        <v>0.18755505097576164</v>
      </c>
      <c r="Q62" s="109">
        <f>IF(Input!$B$13="Oil",IF(P62&lt;J62,0,Production!G62*'Sched &amp; Prod Assumptions'!$C$19-Production!P62/'Sched &amp; Prod Assumptions'!$C$17*Input!$B$31/1000),0)</f>
        <v>0</v>
      </c>
      <c r="R62" s="105"/>
      <c r="S62" s="109">
        <f t="shared" si="9"/>
        <v>26</v>
      </c>
      <c r="T62" s="391">
        <f>IF($S62=0,0,INDEX('Devel Overrides'!$O$28:$O$69,$S62+1,1)*$T$21+INDEX('Devel Overrides'!$O$28:$O$69,$S62,1)*$T$22)*'Sensitivity Ranges'!$F$41</f>
        <v>0</v>
      </c>
      <c r="U62" s="391">
        <f>IF($S62=0,0,INDEX('Devel Overrides'!$P$28:$P$69,$S62+1,1)*$T$21+INDEX('Devel Overrides'!$P$28:$P$69,$S62,1)*$T$22)*'Sensitivity Ranges'!$F$41</f>
        <v>0</v>
      </c>
      <c r="V62" s="391">
        <f>IF($S62=0,0,INDEX('Devel Overrides'!$Q$28:$Q$69,$S62+1,1)*$T$21+INDEX('Devel Overrides'!$Q$28:$Q$69,$S62,1)*$T$22)*'Sensitivity Ranges'!$F$41</f>
        <v>0</v>
      </c>
      <c r="W62" s="145"/>
      <c r="X62" s="109">
        <f>IF($T$20=1,T62,IF(Input!$B$13="Gas",G62,J62)-P62)</f>
        <v>4.1539536394235874</v>
      </c>
      <c r="Y62" s="109">
        <f>IF($T$20=1,U62,IF(Input!$B$13="Gas",0,G62-Q62))</f>
        <v>1.3024656317761225</v>
      </c>
      <c r="Z62" s="109">
        <f>IF($T$20=1,V62,IF(Input!$B$13="Gas",J62,0))</f>
        <v>0</v>
      </c>
      <c r="AA62" s="145"/>
      <c r="AB62" s="109">
        <f>X62*Abandonment!$H47</f>
        <v>4.1539536394235874</v>
      </c>
      <c r="AC62" s="109">
        <f>Y62*Abandonment!$H47</f>
        <v>1.3024656317761225</v>
      </c>
      <c r="AD62" s="109">
        <f>Z62*Abandonment!$H47</f>
        <v>0</v>
      </c>
      <c r="AE62" s="105"/>
      <c r="AF62" s="105"/>
      <c r="AG62" s="109">
        <f t="shared" ca="1" si="10"/>
        <v>4.1539536394235874</v>
      </c>
      <c r="AH62" s="109">
        <f t="shared" ca="1" si="2"/>
        <v>1.3024656317761225</v>
      </c>
      <c r="AI62" s="109">
        <f t="shared" ca="1" si="2"/>
        <v>0</v>
      </c>
      <c r="AJ62" s="105"/>
      <c r="AK62" s="109">
        <f>X62*Abandonment!H47</f>
        <v>4.1539536394235874</v>
      </c>
      <c r="AL62" s="109">
        <f>Y62*Abandonment!H47</f>
        <v>1.3024656317761225</v>
      </c>
      <c r="AM62" s="109">
        <f>Z62*Abandonment!H47</f>
        <v>0</v>
      </c>
      <c r="AN62" s="109">
        <f>AK62/'Sched &amp; Prod Assumptions'!$B$15+Production!AL62+AM62</f>
        <v>2.16787263998937</v>
      </c>
      <c r="AO62" s="109">
        <f t="shared" si="11"/>
        <v>5.9393770958612881</v>
      </c>
      <c r="AP62" s="64"/>
      <c r="AQ62" s="122"/>
      <c r="AR62" s="64"/>
      <c r="AS62" s="64"/>
      <c r="AT62" s="64"/>
      <c r="AU62" s="64"/>
      <c r="AV62" s="64"/>
      <c r="AW62" s="64"/>
      <c r="AX62" s="64"/>
      <c r="AY62" s="64"/>
      <c r="AZ62" s="64"/>
      <c r="BA62" s="64"/>
      <c r="BB62" s="64"/>
      <c r="BC62" s="64"/>
      <c r="BD62" s="64"/>
      <c r="BE62" s="64"/>
      <c r="BF62" s="64"/>
      <c r="BG62" s="64"/>
      <c r="BH62" s="64"/>
      <c r="BI62" s="64"/>
      <c r="BJ62" s="64"/>
      <c r="BK62" s="64"/>
      <c r="BL62" s="64"/>
      <c r="BM62" s="64"/>
      <c r="BN62" s="64"/>
      <c r="BO62" s="64"/>
      <c r="BP62" s="64"/>
      <c r="BQ62" s="64"/>
    </row>
    <row r="63" spans="1:69">
      <c r="A63" s="108">
        <f t="shared" si="12"/>
        <v>2055</v>
      </c>
      <c r="B63" s="108">
        <f t="shared" si="3"/>
        <v>365</v>
      </c>
      <c r="C63" s="109">
        <f t="shared" si="13"/>
        <v>0</v>
      </c>
      <c r="D63" s="109">
        <f t="shared" si="15"/>
        <v>0</v>
      </c>
      <c r="E63" s="109">
        <f t="shared" si="4"/>
        <v>7519.057142857142</v>
      </c>
      <c r="F63" s="109">
        <f t="shared" si="14"/>
        <v>1.1070957870097082</v>
      </c>
      <c r="G63" s="109">
        <f t="shared" si="1"/>
        <v>1.1070957870097082</v>
      </c>
      <c r="H63" s="109">
        <f t="shared" si="5"/>
        <v>3.0331391424923515</v>
      </c>
      <c r="I63" s="105"/>
      <c r="J63" s="109">
        <f>IF(AND(Input!$B$17=Lists!$Q$37,Input!$B$13="Oil"),0,G63*Input!$B$32/1000)</f>
        <v>3.6902823868394607</v>
      </c>
      <c r="K63" s="109">
        <f t="shared" si="6"/>
        <v>10.110362703669756</v>
      </c>
      <c r="L63" s="105"/>
      <c r="M63" s="109">
        <f t="shared" si="7"/>
        <v>365</v>
      </c>
      <c r="N63" s="109">
        <f t="shared" si="8"/>
        <v>1</v>
      </c>
      <c r="O63" s="105"/>
      <c r="P63" s="109">
        <f>IF(Input!$B$13="Oil",MIN('Sched &amp; Prod Assumptions'!$C$19*'Sched &amp; Prod Assumptions'!$B$15*G63,J63),G63*'Sched &amp; Prod Assumptions'!$C$18)</f>
        <v>0.15942179332939799</v>
      </c>
      <c r="Q63" s="109">
        <f>IF(Input!$B$13="Oil",IF(P63&lt;J63,0,Production!G63*'Sched &amp; Prod Assumptions'!$C$19-Production!P63/'Sched &amp; Prod Assumptions'!$C$17*Input!$B$31/1000),0)</f>
        <v>0</v>
      </c>
      <c r="R63" s="105"/>
      <c r="S63" s="109">
        <f t="shared" si="9"/>
        <v>27</v>
      </c>
      <c r="T63" s="391">
        <f>IF($S63=0,0,INDEX('Devel Overrides'!$O$28:$O$69,$S63+1,1)*$T$21+INDEX('Devel Overrides'!$O$28:$O$69,$S63,1)*$T$22)*'Sensitivity Ranges'!$F$41</f>
        <v>0</v>
      </c>
      <c r="U63" s="391">
        <f>IF($S63=0,0,INDEX('Devel Overrides'!$P$28:$P$69,$S63+1,1)*$T$21+INDEX('Devel Overrides'!$P$28:$P$69,$S63,1)*$T$22)*'Sensitivity Ranges'!$F$41</f>
        <v>0</v>
      </c>
      <c r="V63" s="391">
        <f>IF($S63=0,0,INDEX('Devel Overrides'!$Q$28:$Q$69,$S63+1,1)*$T$21+INDEX('Devel Overrides'!$Q$28:$Q$69,$S63,1)*$T$22)*'Sensitivity Ranges'!$F$41</f>
        <v>0</v>
      </c>
      <c r="W63" s="145"/>
      <c r="X63" s="109">
        <f>IF($T$20=1,T63,IF(Input!$B$13="Gas",G63,J63)-P63)</f>
        <v>3.530860593510063</v>
      </c>
      <c r="Y63" s="109">
        <f>IF($T$20=1,U63,IF(Input!$B$13="Gas",0,G63-Q63))</f>
        <v>1.1070957870097082</v>
      </c>
      <c r="Z63" s="109">
        <f>IF($T$20=1,V63,IF(Input!$B$13="Gas",J63,0))</f>
        <v>0</v>
      </c>
      <c r="AA63" s="145"/>
      <c r="AB63" s="109">
        <f>X63*Abandonment!$H48</f>
        <v>0</v>
      </c>
      <c r="AC63" s="109">
        <f>Y63*Abandonment!$H48</f>
        <v>0</v>
      </c>
      <c r="AD63" s="109">
        <f>Z63*Abandonment!$H48</f>
        <v>0</v>
      </c>
      <c r="AE63" s="105"/>
      <c r="AF63" s="105"/>
      <c r="AG63" s="109">
        <f t="shared" ca="1" si="10"/>
        <v>0</v>
      </c>
      <c r="AH63" s="109">
        <f t="shared" ca="1" si="2"/>
        <v>0</v>
      </c>
      <c r="AI63" s="109">
        <f t="shared" ca="1" si="2"/>
        <v>0</v>
      </c>
      <c r="AJ63" s="105"/>
      <c r="AK63" s="109">
        <f>X63*Abandonment!H48</f>
        <v>0</v>
      </c>
      <c r="AL63" s="109">
        <f>Y63*Abandonment!H48</f>
        <v>0</v>
      </c>
      <c r="AM63" s="109">
        <f>Z63*Abandonment!H48</f>
        <v>0</v>
      </c>
      <c r="AN63" s="109">
        <f>AK63/'Sched &amp; Prod Assumptions'!$B$15+Production!AL63+AM63</f>
        <v>0</v>
      </c>
      <c r="AO63" s="109">
        <f t="shared" si="11"/>
        <v>0</v>
      </c>
      <c r="AP63" s="64"/>
      <c r="AQ63" s="122"/>
      <c r="AR63" s="64"/>
      <c r="AS63" s="64"/>
      <c r="AT63" s="64"/>
      <c r="AU63" s="64"/>
      <c r="AV63" s="64"/>
      <c r="AW63" s="64"/>
      <c r="AX63" s="64"/>
      <c r="AY63" s="64"/>
      <c r="AZ63" s="64"/>
      <c r="BA63" s="64"/>
      <c r="BB63" s="64"/>
      <c r="BC63" s="64"/>
      <c r="BD63" s="64"/>
      <c r="BE63" s="64"/>
      <c r="BF63" s="64"/>
      <c r="BG63" s="64"/>
      <c r="BH63" s="64"/>
      <c r="BI63" s="64"/>
      <c r="BJ63" s="64"/>
      <c r="BK63" s="64"/>
      <c r="BL63" s="64"/>
      <c r="BM63" s="64"/>
      <c r="BN63" s="64"/>
      <c r="BO63" s="64"/>
      <c r="BP63" s="64"/>
      <c r="BQ63" s="64"/>
    </row>
    <row r="64" spans="1:69">
      <c r="A64" s="108">
        <f t="shared" si="12"/>
        <v>2056</v>
      </c>
      <c r="B64" s="108">
        <f t="shared" si="3"/>
        <v>366</v>
      </c>
      <c r="C64" s="109">
        <f t="shared" si="13"/>
        <v>0</v>
      </c>
      <c r="D64" s="109">
        <f t="shared" si="15"/>
        <v>0</v>
      </c>
      <c r="E64" s="109">
        <f t="shared" si="4"/>
        <v>7885.057142857142</v>
      </c>
      <c r="F64" s="109">
        <f t="shared" si="14"/>
        <v>0.94340523027633472</v>
      </c>
      <c r="G64" s="109">
        <f t="shared" si="1"/>
        <v>0.94340523027633472</v>
      </c>
      <c r="H64" s="109">
        <f t="shared" si="5"/>
        <v>2.5776099187877999</v>
      </c>
      <c r="I64" s="105"/>
      <c r="J64" s="109">
        <f>IF(AND(Input!$B$17=Lists!$Q$37,Input!$B$13="Oil"),0,G64*Input!$B$32/1000)</f>
        <v>3.1446526540801063</v>
      </c>
      <c r="K64" s="109">
        <f t="shared" si="6"/>
        <v>8.591947142295373</v>
      </c>
      <c r="L64" s="105"/>
      <c r="M64" s="109">
        <f t="shared" si="7"/>
        <v>366</v>
      </c>
      <c r="N64" s="109">
        <f t="shared" si="8"/>
        <v>1</v>
      </c>
      <c r="O64" s="105"/>
      <c r="P64" s="109">
        <f>IF(Input!$B$13="Oil",MIN('Sched &amp; Prod Assumptions'!$C$19*'Sched &amp; Prod Assumptions'!$B$15*G64,J64),G64*'Sched &amp; Prod Assumptions'!$C$18)</f>
        <v>0.13585035315979219</v>
      </c>
      <c r="Q64" s="109">
        <f>IF(Input!$B$13="Oil",IF(P64&lt;J64,0,Production!G64*'Sched &amp; Prod Assumptions'!$C$19-Production!P64/'Sched &amp; Prod Assumptions'!$C$17*Input!$B$31/1000),0)</f>
        <v>0</v>
      </c>
      <c r="R64" s="105"/>
      <c r="S64" s="109">
        <f t="shared" si="9"/>
        <v>28</v>
      </c>
      <c r="T64" s="391">
        <f>IF($S64=0,0,INDEX('Devel Overrides'!$O$28:$O$69,$S64+1,1)*$T$21+INDEX('Devel Overrides'!$O$28:$O$69,$S64,1)*$T$22)*'Sensitivity Ranges'!$F$41</f>
        <v>0</v>
      </c>
      <c r="U64" s="391">
        <f>IF($S64=0,0,INDEX('Devel Overrides'!$P$28:$P$69,$S64+1,1)*$T$21+INDEX('Devel Overrides'!$P$28:$P$69,$S64,1)*$T$22)*'Sensitivity Ranges'!$F$41</f>
        <v>0</v>
      </c>
      <c r="V64" s="391">
        <f>IF($S64=0,0,INDEX('Devel Overrides'!$Q$28:$Q$69,$S64+1,1)*$T$21+INDEX('Devel Overrides'!$Q$28:$Q$69,$S64,1)*$T$22)*'Sensitivity Ranges'!$F$41</f>
        <v>0</v>
      </c>
      <c r="W64" s="145"/>
      <c r="X64" s="109">
        <f>IF($T$20=1,T64,IF(Input!$B$13="Gas",G64,J64)-P64)</f>
        <v>3.0088023009203142</v>
      </c>
      <c r="Y64" s="109">
        <f>IF($T$20=1,U64,IF(Input!$B$13="Gas",0,G64-Q64))</f>
        <v>0.94340523027633472</v>
      </c>
      <c r="Z64" s="109">
        <f>IF($T$20=1,V64,IF(Input!$B$13="Gas",J64,0))</f>
        <v>0</v>
      </c>
      <c r="AA64" s="145"/>
      <c r="AB64" s="109">
        <f>X64*Abandonment!$H49</f>
        <v>0</v>
      </c>
      <c r="AC64" s="109">
        <f>Y64*Abandonment!$H49</f>
        <v>0</v>
      </c>
      <c r="AD64" s="109">
        <f>Z64*Abandonment!$H49</f>
        <v>0</v>
      </c>
      <c r="AE64" s="105"/>
      <c r="AF64" s="105"/>
      <c r="AG64" s="109">
        <f t="shared" ca="1" si="10"/>
        <v>0</v>
      </c>
      <c r="AH64" s="109">
        <f t="shared" ca="1" si="2"/>
        <v>0</v>
      </c>
      <c r="AI64" s="109">
        <f t="shared" ca="1" si="2"/>
        <v>0</v>
      </c>
      <c r="AJ64" s="105"/>
      <c r="AK64" s="109">
        <f>X64*Abandonment!H49</f>
        <v>0</v>
      </c>
      <c r="AL64" s="109">
        <f>Y64*Abandonment!H49</f>
        <v>0</v>
      </c>
      <c r="AM64" s="109">
        <f>Z64*Abandonment!H49</f>
        <v>0</v>
      </c>
      <c r="AN64" s="109">
        <f>AK64/'Sched &amp; Prod Assumptions'!$B$15+Production!AL64+AM64</f>
        <v>0</v>
      </c>
      <c r="AO64" s="109">
        <f t="shared" si="11"/>
        <v>0</v>
      </c>
      <c r="AP64" s="64"/>
      <c r="AQ64" s="122"/>
      <c r="AR64" s="64"/>
      <c r="AS64" s="64"/>
      <c r="AT64" s="64"/>
      <c r="AU64" s="64"/>
      <c r="AV64" s="64"/>
      <c r="AW64" s="64"/>
      <c r="AX64" s="64"/>
      <c r="AY64" s="64"/>
      <c r="AZ64" s="64"/>
      <c r="BA64" s="64"/>
      <c r="BB64" s="64"/>
      <c r="BC64" s="64"/>
      <c r="BD64" s="64"/>
      <c r="BE64" s="64"/>
      <c r="BF64" s="64"/>
      <c r="BG64" s="64"/>
      <c r="BH64" s="64"/>
      <c r="BI64" s="64"/>
      <c r="BJ64" s="64"/>
      <c r="BK64" s="64"/>
      <c r="BL64" s="64"/>
      <c r="BM64" s="64"/>
      <c r="BN64" s="64"/>
      <c r="BO64" s="64"/>
      <c r="BP64" s="64"/>
      <c r="BQ64" s="64"/>
    </row>
    <row r="65" spans="1:69">
      <c r="A65" s="108">
        <f t="shared" si="12"/>
        <v>2057</v>
      </c>
      <c r="B65" s="108">
        <f t="shared" si="3"/>
        <v>365</v>
      </c>
      <c r="C65" s="109">
        <f t="shared" si="13"/>
        <v>0</v>
      </c>
      <c r="D65" s="109">
        <f t="shared" si="15"/>
        <v>0</v>
      </c>
      <c r="E65" s="109">
        <f t="shared" si="4"/>
        <v>8250.057142857142</v>
      </c>
      <c r="F65" s="109">
        <f t="shared" si="14"/>
        <v>0.79952063441680121</v>
      </c>
      <c r="G65" s="109">
        <f t="shared" si="1"/>
        <v>0.79952063441680121</v>
      </c>
      <c r="H65" s="109">
        <f t="shared" si="5"/>
        <v>2.1904674915528801</v>
      </c>
      <c r="I65" s="105"/>
      <c r="J65" s="109">
        <f>IF(AND(Input!$B$17=Lists!$Q$37,Input!$B$13="Oil"),0,G65*Input!$B$32/1000)</f>
        <v>2.6650421307015235</v>
      </c>
      <c r="K65" s="109">
        <f t="shared" si="6"/>
        <v>7.3014852895932147</v>
      </c>
      <c r="L65" s="105"/>
      <c r="M65" s="109">
        <f t="shared" si="7"/>
        <v>365</v>
      </c>
      <c r="N65" s="109">
        <f t="shared" si="8"/>
        <v>1</v>
      </c>
      <c r="O65" s="105"/>
      <c r="P65" s="109">
        <f>IF(Input!$B$13="Oil",MIN('Sched &amp; Prod Assumptions'!$C$19*'Sched &amp; Prod Assumptions'!$B$15*G65,J65),G65*'Sched &amp; Prod Assumptions'!$C$18)</f>
        <v>0.11513097135601937</v>
      </c>
      <c r="Q65" s="109">
        <f>IF(Input!$B$13="Oil",IF(P65&lt;J65,0,Production!G65*'Sched &amp; Prod Assumptions'!$C$19-Production!P65/'Sched &amp; Prod Assumptions'!$C$17*Input!$B$31/1000),0)</f>
        <v>0</v>
      </c>
      <c r="R65" s="105"/>
      <c r="S65" s="109">
        <f t="shared" si="9"/>
        <v>29</v>
      </c>
      <c r="T65" s="391">
        <f>IF($S65=0,0,INDEX('Devel Overrides'!$O$28:$O$69,$S65+1,1)*$T$21+INDEX('Devel Overrides'!$O$28:$O$69,$S65,1)*$T$22)*'Sensitivity Ranges'!$F$41</f>
        <v>0</v>
      </c>
      <c r="U65" s="391">
        <f>IF($S65=0,0,INDEX('Devel Overrides'!$P$28:$P$69,$S65+1,1)*$T$21+INDEX('Devel Overrides'!$P$28:$P$69,$S65,1)*$T$22)*'Sensitivity Ranges'!$F$41</f>
        <v>0</v>
      </c>
      <c r="V65" s="391">
        <f>IF($S65=0,0,INDEX('Devel Overrides'!$Q$28:$Q$69,$S65+1,1)*$T$21+INDEX('Devel Overrides'!$Q$28:$Q$69,$S65,1)*$T$22)*'Sensitivity Ranges'!$F$41</f>
        <v>0</v>
      </c>
      <c r="W65" s="145"/>
      <c r="X65" s="109">
        <f>IF($T$20=1,T65,IF(Input!$B$13="Gas",G65,J65)-P65)</f>
        <v>2.5499111593455042</v>
      </c>
      <c r="Y65" s="109">
        <f>IF($T$20=1,U65,IF(Input!$B$13="Gas",0,G65-Q65))</f>
        <v>0.79952063441680121</v>
      </c>
      <c r="Z65" s="109">
        <f>IF($T$20=1,V65,IF(Input!$B$13="Gas",J65,0))</f>
        <v>0</v>
      </c>
      <c r="AA65" s="145"/>
      <c r="AB65" s="109">
        <f>X65*Abandonment!$H50</f>
        <v>0</v>
      </c>
      <c r="AC65" s="109">
        <f>Y65*Abandonment!$H50</f>
        <v>0</v>
      </c>
      <c r="AD65" s="109">
        <f>Z65*Abandonment!$H50</f>
        <v>0</v>
      </c>
      <c r="AE65" s="105"/>
      <c r="AF65" s="105"/>
      <c r="AG65" s="109">
        <f t="shared" ca="1" si="10"/>
        <v>0</v>
      </c>
      <c r="AH65" s="109">
        <f t="shared" ca="1" si="2"/>
        <v>0</v>
      </c>
      <c r="AI65" s="109">
        <f t="shared" ca="1" si="2"/>
        <v>0</v>
      </c>
      <c r="AJ65" s="105"/>
      <c r="AK65" s="109">
        <f>X65*Abandonment!H50</f>
        <v>0</v>
      </c>
      <c r="AL65" s="109">
        <f>Y65*Abandonment!H50</f>
        <v>0</v>
      </c>
      <c r="AM65" s="109">
        <f>Z65*Abandonment!H50</f>
        <v>0</v>
      </c>
      <c r="AN65" s="109">
        <f>AK65/'Sched &amp; Prod Assumptions'!$B$15+Production!AL65+AM65</f>
        <v>0</v>
      </c>
      <c r="AO65" s="109">
        <f t="shared" si="11"/>
        <v>0</v>
      </c>
      <c r="AP65" s="122"/>
      <c r="AQ65" s="122"/>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row>
    <row r="66" spans="1:69">
      <c r="A66" s="108">
        <f t="shared" si="12"/>
        <v>2058</v>
      </c>
      <c r="B66" s="108">
        <f t="shared" si="3"/>
        <v>365</v>
      </c>
      <c r="C66" s="109">
        <f t="shared" si="13"/>
        <v>0</v>
      </c>
      <c r="D66" s="109">
        <f t="shared" si="15"/>
        <v>0</v>
      </c>
      <c r="E66" s="109">
        <f t="shared" si="4"/>
        <v>8295.0521954071864</v>
      </c>
      <c r="F66" s="109">
        <f t="shared" si="14"/>
        <v>8.9864890322878407E-2</v>
      </c>
      <c r="G66" s="109">
        <f t="shared" si="1"/>
        <v>8.9864890322878407E-2</v>
      </c>
      <c r="H66" s="109">
        <f t="shared" si="5"/>
        <v>1.9972171434387997</v>
      </c>
      <c r="I66" s="105"/>
      <c r="J66" s="109">
        <f>IF(AND(Input!$B$17=Lists!$Q$37,Input!$B$13="Oil"),0,G66*Input!$B$32/1000)</f>
        <v>0.29954663891325062</v>
      </c>
      <c r="K66" s="109">
        <f t="shared" si="6"/>
        <v>6.6573239042245529</v>
      </c>
      <c r="L66" s="105"/>
      <c r="M66" s="109">
        <f t="shared" si="7"/>
        <v>44.99505255004442</v>
      </c>
      <c r="N66" s="109">
        <f t="shared" si="8"/>
        <v>0.12327411657546417</v>
      </c>
      <c r="O66" s="105"/>
      <c r="P66" s="109">
        <f>IF(Input!$B$13="Oil",MIN('Sched &amp; Prod Assumptions'!$C$19*'Sched &amp; Prod Assumptions'!$B$15*G66,J66),G66*'Sched &amp; Prod Assumptions'!$C$18)</f>
        <v>1.294054420649449E-2</v>
      </c>
      <c r="Q66" s="109">
        <f>IF(Input!$B$13="Oil",IF(P66&lt;J66,0,Production!G66*'Sched &amp; Prod Assumptions'!$C$19-Production!P66/'Sched &amp; Prod Assumptions'!$C$17*Input!$B$31/1000),0)</f>
        <v>0</v>
      </c>
      <c r="R66" s="105"/>
      <c r="S66" s="109">
        <f t="shared" si="9"/>
        <v>30</v>
      </c>
      <c r="T66" s="391">
        <f>IF($S66=0,0,INDEX('Devel Overrides'!$O$28:$O$69,$S66+1,1)*$T$21+INDEX('Devel Overrides'!$O$28:$O$69,$S66,1)*$T$22)*'Sensitivity Ranges'!$F$41</f>
        <v>0</v>
      </c>
      <c r="U66" s="391">
        <f>IF($S66=0,0,INDEX('Devel Overrides'!$P$28:$P$69,$S66+1,1)*$T$21+INDEX('Devel Overrides'!$P$28:$P$69,$S66,1)*$T$22)*'Sensitivity Ranges'!$F$41</f>
        <v>0</v>
      </c>
      <c r="V66" s="391">
        <f>IF($S66=0,0,INDEX('Devel Overrides'!$Q$28:$Q$69,$S66+1,1)*$T$21+INDEX('Devel Overrides'!$Q$28:$Q$69,$S66,1)*$T$22)*'Sensitivity Ranges'!$F$41</f>
        <v>0</v>
      </c>
      <c r="W66" s="145"/>
      <c r="X66" s="109">
        <f>IF($T$20=1,T66,IF(Input!$B$13="Gas",G66,J66)-P66)</f>
        <v>0.28660609470675613</v>
      </c>
      <c r="Y66" s="109">
        <f>IF($T$20=1,U66,IF(Input!$B$13="Gas",0,G66-Q66))</f>
        <v>8.9864890322878407E-2</v>
      </c>
      <c r="Z66" s="109">
        <f>IF($T$20=1,V66,IF(Input!$B$13="Gas",J66,0))</f>
        <v>0</v>
      </c>
      <c r="AA66" s="145"/>
      <c r="AB66" s="109">
        <f>X66*Abandonment!$H51</f>
        <v>0</v>
      </c>
      <c r="AC66" s="109">
        <f>Y66*Abandonment!$H51</f>
        <v>0</v>
      </c>
      <c r="AD66" s="109">
        <f>Z66*Abandonment!$H51</f>
        <v>0</v>
      </c>
      <c r="AE66" s="105"/>
      <c r="AF66" s="105"/>
      <c r="AG66" s="109">
        <f t="shared" ca="1" si="10"/>
        <v>0</v>
      </c>
      <c r="AH66" s="109">
        <f t="shared" ca="1" si="2"/>
        <v>0</v>
      </c>
      <c r="AI66" s="109">
        <f t="shared" ca="1" si="2"/>
        <v>0</v>
      </c>
      <c r="AJ66" s="105"/>
      <c r="AK66" s="109">
        <f>X66*Abandonment!H51</f>
        <v>0</v>
      </c>
      <c r="AL66" s="109">
        <f>Y66*Abandonment!H51</f>
        <v>0</v>
      </c>
      <c r="AM66" s="109">
        <f>Z66*Abandonment!H51</f>
        <v>0</v>
      </c>
      <c r="AN66" s="109">
        <f>AK66/'Sched &amp; Prod Assumptions'!$B$15+Production!AL66+AM66</f>
        <v>0</v>
      </c>
      <c r="AO66" s="109">
        <f t="shared" si="11"/>
        <v>0</v>
      </c>
      <c r="AP66" s="122"/>
      <c r="AQ66" s="64"/>
      <c r="AR66" s="64"/>
      <c r="AS66" s="64"/>
      <c r="AT66" s="64"/>
      <c r="AU66" s="64"/>
      <c r="AV66" s="64"/>
      <c r="AW66" s="64"/>
      <c r="AX66" s="64"/>
      <c r="AY66" s="64"/>
      <c r="AZ66" s="64"/>
      <c r="BA66" s="64"/>
      <c r="BB66" s="64"/>
      <c r="BC66" s="64"/>
      <c r="BD66" s="64"/>
      <c r="BE66" s="64"/>
      <c r="BF66" s="64"/>
      <c r="BG66" s="64"/>
      <c r="BH66" s="64"/>
      <c r="BI66" s="64"/>
      <c r="BJ66" s="64"/>
      <c r="BK66" s="64"/>
      <c r="BL66" s="64"/>
      <c r="BM66" s="64"/>
      <c r="BN66" s="64"/>
      <c r="BO66" s="64"/>
      <c r="BP66" s="64"/>
      <c r="BQ66" s="64"/>
    </row>
    <row r="67" spans="1:69">
      <c r="A67" s="108">
        <f t="shared" si="12"/>
        <v>2059</v>
      </c>
      <c r="B67" s="108">
        <f t="shared" si="3"/>
        <v>365</v>
      </c>
      <c r="C67" s="109">
        <f t="shared" si="13"/>
        <v>0</v>
      </c>
      <c r="D67" s="109">
        <f t="shared" si="15"/>
        <v>0</v>
      </c>
      <c r="E67" s="109">
        <f t="shared" si="4"/>
        <v>8295.0521954071864</v>
      </c>
      <c r="F67" s="109">
        <f t="shared" si="14"/>
        <v>0</v>
      </c>
      <c r="G67" s="109">
        <f t="shared" si="1"/>
        <v>0</v>
      </c>
      <c r="H67" s="109">
        <f t="shared" si="5"/>
        <v>0</v>
      </c>
      <c r="I67" s="105"/>
      <c r="J67" s="109">
        <f>IF(AND(Input!$B$17=Lists!$Q$37,Input!$B$13="Oil"),0,G67*Input!$B$32/1000)</f>
        <v>0</v>
      </c>
      <c r="K67" s="109">
        <f t="shared" si="6"/>
        <v>0</v>
      </c>
      <c r="L67" s="105"/>
      <c r="M67" s="109">
        <f t="shared" si="7"/>
        <v>0</v>
      </c>
      <c r="N67" s="109">
        <f t="shared" si="8"/>
        <v>0</v>
      </c>
      <c r="O67" s="105"/>
      <c r="P67" s="109">
        <f>IF(Input!$B$13="Oil",MIN('Sched &amp; Prod Assumptions'!$C$19*'Sched &amp; Prod Assumptions'!$B$15*G67,J67),G67*'Sched &amp; Prod Assumptions'!$C$18)</f>
        <v>0</v>
      </c>
      <c r="Q67" s="109">
        <f>IF(Input!$B$13="Oil",IF(P67&lt;J67,0,Production!G67*'Sched &amp; Prod Assumptions'!$C$19-Production!P67/'Sched &amp; Prod Assumptions'!$C$17*Input!$B$31/1000),0)</f>
        <v>0</v>
      </c>
      <c r="R67" s="105"/>
      <c r="S67" s="109">
        <f t="shared" si="9"/>
        <v>31</v>
      </c>
      <c r="T67" s="391">
        <f>IF($S67=0,0,INDEX('Devel Overrides'!$O$28:$O$69,$S67+1,1)*$T$21+INDEX('Devel Overrides'!$O$28:$O$69,$S67,1)*$T$22)*'Sensitivity Ranges'!$F$41</f>
        <v>0</v>
      </c>
      <c r="U67" s="391">
        <f>IF($S67=0,0,INDEX('Devel Overrides'!$P$28:$P$69,$S67+1,1)*$T$21+INDEX('Devel Overrides'!$P$28:$P$69,$S67,1)*$T$22)*'Sensitivity Ranges'!$F$41</f>
        <v>0</v>
      </c>
      <c r="V67" s="391">
        <f>IF($S67=0,0,INDEX('Devel Overrides'!$Q$28:$Q$69,$S67+1,1)*$T$21+INDEX('Devel Overrides'!$Q$28:$Q$69,$S67,1)*$T$22)*'Sensitivity Ranges'!$F$41</f>
        <v>0</v>
      </c>
      <c r="W67" s="145"/>
      <c r="X67" s="109">
        <f>IF($T$20=1,T67,IF(Input!$B$13="Gas",G67,J67)-P67)</f>
        <v>0</v>
      </c>
      <c r="Y67" s="109">
        <f>IF($T$20=1,U67,IF(Input!$B$13="Gas",0,G67-Q67))</f>
        <v>0</v>
      </c>
      <c r="Z67" s="109">
        <f>IF($T$20=1,V67,IF(Input!$B$13="Gas",J67,0))</f>
        <v>0</v>
      </c>
      <c r="AA67" s="145"/>
      <c r="AB67" s="109">
        <f>X67*Abandonment!$H52</f>
        <v>0</v>
      </c>
      <c r="AC67" s="109">
        <f>Y67*Abandonment!$H52</f>
        <v>0</v>
      </c>
      <c r="AD67" s="109">
        <f>Z67*Abandonment!$H52</f>
        <v>0</v>
      </c>
      <c r="AE67" s="105"/>
      <c r="AF67" s="105"/>
      <c r="AG67" s="109">
        <f t="shared" ca="1" si="10"/>
        <v>0</v>
      </c>
      <c r="AH67" s="109">
        <f t="shared" ca="1" si="2"/>
        <v>0</v>
      </c>
      <c r="AI67" s="109">
        <f t="shared" ca="1" si="2"/>
        <v>0</v>
      </c>
      <c r="AJ67" s="105"/>
      <c r="AK67" s="109">
        <f>X67*Abandonment!H52</f>
        <v>0</v>
      </c>
      <c r="AL67" s="109">
        <f>Y67*Abandonment!H52</f>
        <v>0</v>
      </c>
      <c r="AM67" s="109">
        <f>Z67*Abandonment!H52</f>
        <v>0</v>
      </c>
      <c r="AN67" s="109">
        <f>AK67/'Sched &amp; Prod Assumptions'!$B$15+Production!AL67+AM67</f>
        <v>0</v>
      </c>
      <c r="AO67" s="109">
        <f t="shared" si="11"/>
        <v>0</v>
      </c>
      <c r="AP67" s="64"/>
      <c r="AQ67" s="64"/>
      <c r="AR67" s="64"/>
      <c r="AS67" s="64"/>
      <c r="AT67" s="64"/>
      <c r="AU67" s="64"/>
      <c r="AV67" s="64"/>
      <c r="AW67" s="64"/>
      <c r="AX67" s="64"/>
      <c r="AY67" s="64"/>
      <c r="AZ67" s="64"/>
      <c r="BA67" s="64"/>
      <c r="BB67" s="64"/>
      <c r="BC67" s="64"/>
      <c r="BD67" s="64"/>
      <c r="BE67" s="64"/>
      <c r="BF67" s="64"/>
      <c r="BG67" s="64"/>
      <c r="BH67" s="64"/>
      <c r="BI67" s="64"/>
      <c r="BJ67" s="64"/>
      <c r="BK67" s="64"/>
      <c r="BL67" s="64"/>
      <c r="BM67" s="64"/>
      <c r="BN67" s="64"/>
      <c r="BO67" s="64"/>
      <c r="BP67" s="64"/>
      <c r="BQ67" s="64"/>
    </row>
    <row r="68" spans="1:69">
      <c r="A68" s="108">
        <f t="shared" si="12"/>
        <v>2060</v>
      </c>
      <c r="B68" s="108">
        <f t="shared" si="3"/>
        <v>366</v>
      </c>
      <c r="C68" s="109">
        <f t="shared" si="13"/>
        <v>0</v>
      </c>
      <c r="D68" s="109">
        <f t="shared" si="15"/>
        <v>0</v>
      </c>
      <c r="E68" s="109">
        <f t="shared" si="4"/>
        <v>8295.0521954071864</v>
      </c>
      <c r="F68" s="109">
        <f t="shared" si="14"/>
        <v>0</v>
      </c>
      <c r="G68" s="109">
        <f t="shared" si="1"/>
        <v>0</v>
      </c>
      <c r="H68" s="109">
        <f t="shared" si="5"/>
        <v>0</v>
      </c>
      <c r="I68" s="105"/>
      <c r="J68" s="109">
        <f>IF(AND(Input!$B$17=Lists!$Q$37,Input!$B$13="Oil"),0,G68*Input!$B$32/1000)</f>
        <v>0</v>
      </c>
      <c r="K68" s="109">
        <f t="shared" si="6"/>
        <v>0</v>
      </c>
      <c r="L68" s="105"/>
      <c r="M68" s="109">
        <f t="shared" si="7"/>
        <v>0</v>
      </c>
      <c r="N68" s="109">
        <f t="shared" si="8"/>
        <v>0</v>
      </c>
      <c r="O68" s="105"/>
      <c r="P68" s="109">
        <f>IF(Input!$B$13="Oil",MIN('Sched &amp; Prod Assumptions'!$C$19*'Sched &amp; Prod Assumptions'!$B$15*G68,J68),G68*'Sched &amp; Prod Assumptions'!$C$18)</f>
        <v>0</v>
      </c>
      <c r="Q68" s="109">
        <f>IF(Input!$B$13="Oil",IF(P68&lt;J68,0,Production!G68*'Sched &amp; Prod Assumptions'!$C$19-Production!P68/'Sched &amp; Prod Assumptions'!$C$17*Input!$B$31/1000),0)</f>
        <v>0</v>
      </c>
      <c r="R68" s="105"/>
      <c r="S68" s="109">
        <f t="shared" si="9"/>
        <v>32</v>
      </c>
      <c r="T68" s="391">
        <f>IF($S68=0,0,INDEX('Devel Overrides'!$O$28:$O$69,$S68+1,1)*$T$21+INDEX('Devel Overrides'!$O$28:$O$69,$S68,1)*$T$22)*'Sensitivity Ranges'!$F$41</f>
        <v>0</v>
      </c>
      <c r="U68" s="391">
        <f>IF($S68=0,0,INDEX('Devel Overrides'!$P$28:$P$69,$S68+1,1)*$T$21+INDEX('Devel Overrides'!$P$28:$P$69,$S68,1)*$T$22)*'Sensitivity Ranges'!$F$41</f>
        <v>0</v>
      </c>
      <c r="V68" s="391">
        <f>IF($S68=0,0,INDEX('Devel Overrides'!$Q$28:$Q$69,$S68+1,1)*$T$21+INDEX('Devel Overrides'!$Q$28:$Q$69,$S68,1)*$T$22)*'Sensitivity Ranges'!$F$41</f>
        <v>0</v>
      </c>
      <c r="W68" s="145"/>
      <c r="X68" s="109">
        <f>IF($T$20=1,T68,IF(Input!$B$13="Gas",G68,J68)-P68)</f>
        <v>0</v>
      </c>
      <c r="Y68" s="109">
        <f>IF($T$20=1,U68,IF(Input!$B$13="Gas",0,G68-Q68))</f>
        <v>0</v>
      </c>
      <c r="Z68" s="109">
        <f>IF($T$20=1,V68,IF(Input!$B$13="Gas",J68,0))</f>
        <v>0</v>
      </c>
      <c r="AA68" s="145"/>
      <c r="AB68" s="109">
        <f>X68*Abandonment!$H53</f>
        <v>0</v>
      </c>
      <c r="AC68" s="109">
        <f>Y68*Abandonment!$H53</f>
        <v>0</v>
      </c>
      <c r="AD68" s="109">
        <f>Z68*Abandonment!$H53</f>
        <v>0</v>
      </c>
      <c r="AE68" s="105"/>
      <c r="AF68" s="105"/>
      <c r="AG68" s="109">
        <f t="shared" ca="1" si="10"/>
        <v>0</v>
      </c>
      <c r="AH68" s="109">
        <f t="shared" ca="1" si="2"/>
        <v>0</v>
      </c>
      <c r="AI68" s="109">
        <f t="shared" ca="1" si="2"/>
        <v>0</v>
      </c>
      <c r="AJ68" s="105"/>
      <c r="AK68" s="109">
        <f>X68*Abandonment!H53</f>
        <v>0</v>
      </c>
      <c r="AL68" s="109">
        <f>Y68*Abandonment!H53</f>
        <v>0</v>
      </c>
      <c r="AM68" s="109">
        <f>Z68*Abandonment!H53</f>
        <v>0</v>
      </c>
      <c r="AN68" s="109">
        <f>AK68/'Sched &amp; Prod Assumptions'!$B$15+Production!AL68+AM68</f>
        <v>0</v>
      </c>
      <c r="AO68" s="109">
        <f t="shared" si="11"/>
        <v>0</v>
      </c>
      <c r="AP68" s="64"/>
      <c r="AQ68" s="64"/>
      <c r="AR68" s="64"/>
      <c r="AS68" s="64"/>
      <c r="AT68" s="64"/>
      <c r="AU68" s="64"/>
      <c r="AV68" s="64"/>
      <c r="AW68" s="64"/>
      <c r="AX68" s="64"/>
      <c r="AY68" s="64"/>
      <c r="AZ68" s="64"/>
      <c r="BA68" s="64"/>
      <c r="BB68" s="64"/>
      <c r="BC68" s="64"/>
      <c r="BD68" s="64"/>
      <c r="BE68" s="64"/>
      <c r="BF68" s="64"/>
      <c r="BG68" s="64"/>
      <c r="BH68" s="64"/>
      <c r="BI68" s="64"/>
      <c r="BJ68" s="64"/>
      <c r="BK68" s="64"/>
      <c r="BL68" s="64"/>
      <c r="BM68" s="64"/>
      <c r="BN68" s="64"/>
      <c r="BO68" s="64"/>
      <c r="BP68" s="64"/>
      <c r="BQ68" s="64"/>
    </row>
    <row r="69" spans="1:69">
      <c r="A69" s="108">
        <f t="shared" si="12"/>
        <v>2061</v>
      </c>
      <c r="B69" s="108">
        <f t="shared" si="3"/>
        <v>365</v>
      </c>
      <c r="C69" s="109">
        <f t="shared" si="13"/>
        <v>0</v>
      </c>
      <c r="D69" s="109">
        <f t="shared" si="15"/>
        <v>0</v>
      </c>
      <c r="E69" s="109">
        <f t="shared" si="4"/>
        <v>8295.0521954071864</v>
      </c>
      <c r="F69" s="109">
        <f t="shared" si="14"/>
        <v>0</v>
      </c>
      <c r="G69" s="109">
        <f t="shared" si="1"/>
        <v>0</v>
      </c>
      <c r="H69" s="109">
        <f t="shared" si="5"/>
        <v>0</v>
      </c>
      <c r="I69" s="105"/>
      <c r="J69" s="109">
        <f>IF(AND(Input!$B$17=Lists!$Q$37,Input!$B$13="Oil"),0,G69*Input!$B$32/1000)</f>
        <v>0</v>
      </c>
      <c r="K69" s="109">
        <f t="shared" si="6"/>
        <v>0</v>
      </c>
      <c r="L69" s="105"/>
      <c r="M69" s="109">
        <f t="shared" si="7"/>
        <v>0</v>
      </c>
      <c r="N69" s="109">
        <f t="shared" si="8"/>
        <v>0</v>
      </c>
      <c r="O69" s="105"/>
      <c r="P69" s="109">
        <f>IF(Input!$B$13="Oil",MIN('Sched &amp; Prod Assumptions'!$C$19*'Sched &amp; Prod Assumptions'!$B$15*G69,J69),G69*'Sched &amp; Prod Assumptions'!$C$18)</f>
        <v>0</v>
      </c>
      <c r="Q69" s="109">
        <f>IF(Input!$B$13="Oil",IF(P69&lt;J69,0,Production!G69*'Sched &amp; Prod Assumptions'!$C$19-Production!P69/'Sched &amp; Prod Assumptions'!$C$17*Input!$B$31/1000),0)</f>
        <v>0</v>
      </c>
      <c r="R69" s="105"/>
      <c r="S69" s="109">
        <f t="shared" si="9"/>
        <v>33</v>
      </c>
      <c r="T69" s="391">
        <f>IF($S69=0,0,INDEX('Devel Overrides'!$O$28:$O$69,$S69+1,1)*$T$21+INDEX('Devel Overrides'!$O$28:$O$69,$S69,1)*$T$22)*'Sensitivity Ranges'!$F$41</f>
        <v>0</v>
      </c>
      <c r="U69" s="391">
        <f>IF($S69=0,0,INDEX('Devel Overrides'!$P$28:$P$69,$S69+1,1)*$T$21+INDEX('Devel Overrides'!$P$28:$P$69,$S69,1)*$T$22)*'Sensitivity Ranges'!$F$41</f>
        <v>0</v>
      </c>
      <c r="V69" s="391">
        <f>IF($S69=0,0,INDEX('Devel Overrides'!$Q$28:$Q$69,$S69+1,1)*$T$21+INDEX('Devel Overrides'!$Q$28:$Q$69,$S69,1)*$T$22)*'Sensitivity Ranges'!$F$41</f>
        <v>0</v>
      </c>
      <c r="W69" s="145"/>
      <c r="X69" s="109">
        <f>IF($T$20=1,T69,IF(Input!$B$13="Gas",G69,J69)-P69)</f>
        <v>0</v>
      </c>
      <c r="Y69" s="109">
        <f>IF($T$20=1,U69,IF(Input!$B$13="Gas",0,G69-Q69))</f>
        <v>0</v>
      </c>
      <c r="Z69" s="109">
        <f>IF($T$20=1,V69,IF(Input!$B$13="Gas",J69,0))</f>
        <v>0</v>
      </c>
      <c r="AA69" s="145"/>
      <c r="AB69" s="109">
        <f>X69*Abandonment!$H54</f>
        <v>0</v>
      </c>
      <c r="AC69" s="109">
        <f>Y69*Abandonment!$H54</f>
        <v>0</v>
      </c>
      <c r="AD69" s="109">
        <f>Z69*Abandonment!$H54</f>
        <v>0</v>
      </c>
      <c r="AE69" s="105"/>
      <c r="AF69" s="105"/>
      <c r="AG69" s="109">
        <f t="shared" ca="1" si="10"/>
        <v>0</v>
      </c>
      <c r="AH69" s="109">
        <f t="shared" ca="1" si="2"/>
        <v>0</v>
      </c>
      <c r="AI69" s="109">
        <f t="shared" ca="1" si="2"/>
        <v>0</v>
      </c>
      <c r="AJ69" s="105"/>
      <c r="AK69" s="109">
        <f>X69*Abandonment!H54</f>
        <v>0</v>
      </c>
      <c r="AL69" s="109">
        <f>Y69*Abandonment!H54</f>
        <v>0</v>
      </c>
      <c r="AM69" s="109">
        <f>Z69*Abandonment!H54</f>
        <v>0</v>
      </c>
      <c r="AN69" s="109">
        <f>AK69/'Sched &amp; Prod Assumptions'!$B$15+Production!AL69+AM69</f>
        <v>0</v>
      </c>
      <c r="AO69" s="109">
        <f t="shared" si="11"/>
        <v>0</v>
      </c>
      <c r="AP69" s="64"/>
      <c r="AQ69" s="64"/>
      <c r="AR69" s="64"/>
      <c r="AS69" s="64"/>
      <c r="AT69" s="64"/>
      <c r="AU69" s="64"/>
      <c r="AV69" s="64"/>
      <c r="AW69" s="64"/>
      <c r="AX69" s="64"/>
      <c r="AY69" s="84"/>
      <c r="AZ69" s="64"/>
      <c r="BA69" s="64"/>
      <c r="BB69" s="64"/>
      <c r="BC69" s="64"/>
      <c r="BD69" s="84"/>
      <c r="BE69" s="84"/>
      <c r="BF69" s="84"/>
      <c r="BG69" s="84"/>
      <c r="BH69" s="84"/>
      <c r="BI69" s="84"/>
      <c r="BJ69" s="84"/>
      <c r="BK69" s="84"/>
      <c r="BL69" s="84"/>
      <c r="BM69" s="84"/>
      <c r="BN69" s="84"/>
      <c r="BO69" s="64"/>
      <c r="BP69" s="64"/>
      <c r="BQ69" s="84"/>
    </row>
    <row r="70" spans="1:69">
      <c r="A70" s="110">
        <f t="shared" si="12"/>
        <v>2062</v>
      </c>
      <c r="B70" s="110">
        <f t="shared" si="3"/>
        <v>365</v>
      </c>
      <c r="C70" s="111">
        <f t="shared" si="13"/>
        <v>0</v>
      </c>
      <c r="D70" s="111">
        <f t="shared" si="15"/>
        <v>0</v>
      </c>
      <c r="E70" s="111">
        <f t="shared" si="4"/>
        <v>8295.0521954071864</v>
      </c>
      <c r="F70" s="111">
        <f t="shared" si="14"/>
        <v>0</v>
      </c>
      <c r="G70" s="111">
        <f t="shared" si="1"/>
        <v>0</v>
      </c>
      <c r="H70" s="111">
        <f t="shared" si="5"/>
        <v>0</v>
      </c>
      <c r="I70" s="105"/>
      <c r="J70" s="111">
        <f>IF(AND(Input!$B$17=Lists!$Q$37,Input!$B$13="Oil"),0,G70*Input!$B$32/1000)</f>
        <v>0</v>
      </c>
      <c r="K70" s="111">
        <f t="shared" si="6"/>
        <v>0</v>
      </c>
      <c r="L70" s="105"/>
      <c r="M70" s="111">
        <f t="shared" si="7"/>
        <v>0</v>
      </c>
      <c r="N70" s="111">
        <f t="shared" si="8"/>
        <v>0</v>
      </c>
      <c r="O70" s="105"/>
      <c r="P70" s="111">
        <f>IF(Input!$B$13="Oil",MIN('Sched &amp; Prod Assumptions'!$C$19*'Sched &amp; Prod Assumptions'!$B$15*G70,J70),G70*'Sched &amp; Prod Assumptions'!$C$18)</f>
        <v>0</v>
      </c>
      <c r="Q70" s="111">
        <f>IF(Input!$B$13="Oil",IF(P70&lt;J70,0,Production!G70*'Sched &amp; Prod Assumptions'!$C$19-Production!P70/'Sched &amp; Prod Assumptions'!$C$17*Input!$B$31/1000),0)</f>
        <v>0</v>
      </c>
      <c r="R70" s="105"/>
      <c r="S70" s="111">
        <f t="shared" si="9"/>
        <v>34</v>
      </c>
      <c r="T70" s="392">
        <f>IF($S70=0,0,INDEX('Devel Overrides'!$O$28:$O$69,$S70+1,1)*$T$21+INDEX('Devel Overrides'!$O$28:$O$69,$S70,1)*$T$22)*'Sensitivity Ranges'!$F$41</f>
        <v>0</v>
      </c>
      <c r="U70" s="392">
        <f>IF($S70=0,0,INDEX('Devel Overrides'!$P$28:$P$69,$S70+1,1)*$T$21+INDEX('Devel Overrides'!$P$28:$P$69,$S70,1)*$T$22)*'Sensitivity Ranges'!$F$41</f>
        <v>0</v>
      </c>
      <c r="V70" s="392">
        <f>IF($S70=0,0,INDEX('Devel Overrides'!$Q$28:$Q$69,$S70+1,1)*$T$21+INDEX('Devel Overrides'!$Q$28:$Q$69,$S70,1)*$T$22)*'Sensitivity Ranges'!$F$41</f>
        <v>0</v>
      </c>
      <c r="W70" s="145"/>
      <c r="X70" s="111">
        <f>IF($T$20=1,T70,IF(Input!$B$13="Gas",G70,J70)-P70)</f>
        <v>0</v>
      </c>
      <c r="Y70" s="111">
        <f>IF($T$20=1,U70,IF(Input!$B$13="Gas",0,G70-Q70))</f>
        <v>0</v>
      </c>
      <c r="Z70" s="111">
        <f>IF($T$20=1,V70,IF(Input!$B$13="Gas",J70,0))</f>
        <v>0</v>
      </c>
      <c r="AA70" s="145"/>
      <c r="AB70" s="111">
        <f>X70*Abandonment!$H55</f>
        <v>0</v>
      </c>
      <c r="AC70" s="111">
        <f>Y70*Abandonment!$H55</f>
        <v>0</v>
      </c>
      <c r="AD70" s="111">
        <f>Z70*Abandonment!$H55</f>
        <v>0</v>
      </c>
      <c r="AE70" s="105"/>
      <c r="AF70" s="105"/>
      <c r="AG70" s="111">
        <f t="shared" ca="1" si="10"/>
        <v>0</v>
      </c>
      <c r="AH70" s="111">
        <f t="shared" ca="1" si="2"/>
        <v>0</v>
      </c>
      <c r="AI70" s="111">
        <f t="shared" ca="1" si="2"/>
        <v>0</v>
      </c>
      <c r="AJ70" s="105"/>
      <c r="AK70" s="111">
        <f>X70*Abandonment!H55</f>
        <v>0</v>
      </c>
      <c r="AL70" s="111">
        <f>Y70*Abandonment!H55</f>
        <v>0</v>
      </c>
      <c r="AM70" s="111">
        <f>Z70*Abandonment!H55</f>
        <v>0</v>
      </c>
      <c r="AN70" s="111">
        <f>AK70/'Sched &amp; Prod Assumptions'!$B$15+Production!AL70+AM70</f>
        <v>0</v>
      </c>
      <c r="AO70" s="111">
        <f t="shared" si="11"/>
        <v>0</v>
      </c>
      <c r="AP70" s="64"/>
      <c r="AQ70" s="64"/>
      <c r="AR70" s="64"/>
      <c r="AS70" s="64"/>
      <c r="AT70" s="64"/>
      <c r="AU70" s="64"/>
      <c r="AV70" s="64"/>
      <c r="AW70" s="64"/>
      <c r="AX70" s="64"/>
      <c r="AY70" s="64"/>
      <c r="AZ70" s="64"/>
      <c r="BA70" s="64"/>
      <c r="BB70" s="64"/>
      <c r="BC70" s="64"/>
      <c r="BD70" s="64"/>
      <c r="BE70" s="64"/>
      <c r="BF70" s="64"/>
      <c r="BG70" s="64"/>
      <c r="BH70" s="64"/>
      <c r="BI70" s="64"/>
      <c r="BJ70" s="64"/>
      <c r="BK70" s="64"/>
      <c r="BL70" s="64"/>
      <c r="BM70" s="64"/>
      <c r="BN70" s="64"/>
      <c r="BO70" s="64"/>
      <c r="BP70" s="64"/>
      <c r="BQ70" s="64"/>
    </row>
    <row r="71" spans="1:69">
      <c r="A71" s="64"/>
      <c r="B71" s="64"/>
      <c r="C71" s="64"/>
      <c r="D71" s="64"/>
      <c r="E71" s="64"/>
      <c r="F71" s="64"/>
      <c r="G71" s="64"/>
      <c r="H71" s="64"/>
      <c r="I71" s="64"/>
      <c r="J71" s="64"/>
      <c r="K71" s="64"/>
      <c r="L71" s="64"/>
      <c r="M71" s="64"/>
      <c r="N71" s="64"/>
      <c r="O71" s="64"/>
      <c r="P71" s="64"/>
      <c r="Q71" s="64"/>
      <c r="R71" s="64"/>
      <c r="S71" s="64"/>
      <c r="T71" s="64"/>
      <c r="U71" s="64"/>
      <c r="V71" s="64"/>
      <c r="W71" s="64"/>
      <c r="X71" s="64"/>
      <c r="Y71" s="64"/>
      <c r="Z71" s="64"/>
      <c r="AA71" s="64"/>
      <c r="AB71" s="64"/>
      <c r="AC71" s="64"/>
      <c r="AD71" s="64"/>
      <c r="AE71" s="64"/>
      <c r="AF71" s="64"/>
      <c r="AG71" s="121"/>
      <c r="AH71" s="64"/>
      <c r="AI71" s="64"/>
      <c r="AJ71" s="64"/>
      <c r="AK71" s="64"/>
      <c r="AL71" s="64"/>
      <c r="AM71" s="64"/>
      <c r="AN71" s="64"/>
      <c r="AO71" s="64"/>
      <c r="AP71" s="64"/>
      <c r="AQ71" s="64"/>
      <c r="AR71" s="64"/>
      <c r="AS71" s="64"/>
      <c r="AT71" s="64"/>
      <c r="AU71" s="64"/>
      <c r="AV71" s="64"/>
      <c r="AW71" s="64"/>
      <c r="AX71" s="64"/>
      <c r="AY71" s="64"/>
      <c r="AZ71" s="64"/>
      <c r="BA71" s="64"/>
      <c r="BB71" s="64"/>
      <c r="BC71" s="64"/>
      <c r="BD71" s="64"/>
      <c r="BE71" s="64"/>
      <c r="BF71" s="64"/>
      <c r="BG71" s="64"/>
      <c r="BH71" s="64"/>
      <c r="BI71" s="64"/>
      <c r="BJ71" s="64"/>
      <c r="BK71" s="64"/>
      <c r="BL71" s="64"/>
      <c r="BM71" s="64"/>
      <c r="BN71" s="64"/>
      <c r="BO71" s="64"/>
      <c r="BP71" s="64"/>
      <c r="BQ71" s="64"/>
    </row>
    <row r="72" spans="1:69">
      <c r="A72" s="64"/>
      <c r="B72" s="64"/>
      <c r="C72" s="64"/>
      <c r="D72" s="64"/>
      <c r="E72" s="64"/>
      <c r="F72" s="64"/>
      <c r="G72" s="64"/>
      <c r="H72" s="64"/>
      <c r="I72" s="64"/>
      <c r="J72" s="64"/>
      <c r="K72" s="64"/>
      <c r="L72" s="64"/>
      <c r="M72" s="64"/>
      <c r="N72" s="64"/>
      <c r="O72" s="64"/>
      <c r="P72" s="64"/>
      <c r="Q72" s="64"/>
      <c r="R72" s="64"/>
      <c r="S72" s="168"/>
      <c r="T72" s="64"/>
      <c r="U72" s="64"/>
      <c r="V72" s="64"/>
      <c r="W72" s="64"/>
      <c r="X72" s="64"/>
      <c r="Y72" s="64"/>
      <c r="Z72" s="64"/>
      <c r="AA72" s="64"/>
      <c r="AB72" s="64"/>
      <c r="AC72" s="64"/>
      <c r="AD72" s="64"/>
      <c r="AE72" s="64"/>
      <c r="AF72" s="64"/>
      <c r="AG72" s="64"/>
      <c r="AH72" s="64"/>
      <c r="AI72" s="64"/>
      <c r="AJ72" s="64"/>
      <c r="AK72" s="64"/>
      <c r="AL72" s="64"/>
      <c r="AM72" s="64"/>
      <c r="AN72" s="64"/>
      <c r="AO72" s="64"/>
      <c r="AP72" s="64"/>
      <c r="AQ72" s="64"/>
      <c r="AR72" s="64"/>
      <c r="AS72" s="64"/>
      <c r="AT72" s="64"/>
      <c r="AU72" s="64"/>
      <c r="AV72" s="64"/>
      <c r="AW72" s="64"/>
      <c r="AX72" s="64"/>
      <c r="AY72" s="64"/>
      <c r="AZ72" s="64"/>
      <c r="BA72" s="64"/>
      <c r="BB72" s="64"/>
      <c r="BC72" s="64"/>
      <c r="BD72" s="64"/>
      <c r="BE72" s="64"/>
      <c r="BF72" s="64"/>
      <c r="BG72" s="64"/>
      <c r="BH72" s="64"/>
      <c r="BI72" s="64"/>
      <c r="BJ72" s="64"/>
      <c r="BK72" s="64"/>
      <c r="BL72" s="64"/>
      <c r="BM72" s="64"/>
      <c r="BN72" s="64"/>
      <c r="BO72" s="64"/>
      <c r="BP72" s="64"/>
      <c r="BQ72" s="64"/>
    </row>
    <row r="73" spans="1:69">
      <c r="A73" s="64"/>
      <c r="B73" s="64"/>
      <c r="C73" s="64"/>
      <c r="D73" s="64"/>
      <c r="E73" s="64"/>
      <c r="F73" s="64"/>
      <c r="G73" s="64"/>
      <c r="H73" s="64"/>
      <c r="I73" s="64"/>
      <c r="J73" s="64"/>
      <c r="K73" s="64"/>
      <c r="L73" s="64"/>
      <c r="M73" s="64"/>
      <c r="N73" s="64"/>
      <c r="O73" s="64"/>
      <c r="P73" s="64"/>
      <c r="Q73" s="64"/>
      <c r="R73" s="64"/>
      <c r="S73" s="490"/>
      <c r="T73" s="64"/>
      <c r="U73" s="64"/>
      <c r="V73" s="64"/>
      <c r="W73" s="64"/>
      <c r="X73" s="64"/>
      <c r="Y73" s="64"/>
      <c r="Z73" s="64"/>
      <c r="AA73" s="64"/>
      <c r="AB73" s="64"/>
      <c r="AC73" s="64"/>
      <c r="AD73" s="64"/>
      <c r="AE73" s="64"/>
      <c r="AF73" s="64"/>
      <c r="AG73" s="64"/>
      <c r="AH73" s="64"/>
      <c r="AI73" s="64"/>
      <c r="AJ73" s="64"/>
      <c r="AK73" s="64"/>
      <c r="AL73" s="64"/>
      <c r="AM73" s="64"/>
      <c r="AN73" s="64"/>
      <c r="AO73" s="64"/>
      <c r="AP73" s="64"/>
      <c r="AQ73" s="64"/>
      <c r="AR73" s="64"/>
      <c r="AS73" s="64"/>
      <c r="AT73" s="64"/>
      <c r="AU73" s="64"/>
      <c r="AV73" s="64"/>
      <c r="AW73" s="64"/>
      <c r="AX73" s="64"/>
      <c r="AY73" s="64"/>
      <c r="AZ73" s="64"/>
      <c r="BA73" s="64"/>
      <c r="BB73" s="64"/>
      <c r="BC73" s="64"/>
      <c r="BD73" s="64"/>
      <c r="BE73" s="64"/>
      <c r="BF73" s="64"/>
      <c r="BG73" s="64"/>
      <c r="BH73" s="64"/>
      <c r="BI73" s="64"/>
      <c r="BJ73" s="64"/>
      <c r="BK73" s="64"/>
      <c r="BL73" s="64"/>
      <c r="BM73" s="64"/>
      <c r="BN73" s="64"/>
      <c r="BO73" s="64"/>
      <c r="BP73" s="64"/>
      <c r="BQ73" s="64"/>
    </row>
    <row r="74" spans="1:69">
      <c r="A74" s="64"/>
      <c r="B74" s="64"/>
      <c r="C74" s="139"/>
      <c r="D74" s="139"/>
      <c r="E74" s="139"/>
      <c r="F74" s="139"/>
      <c r="G74" s="139"/>
      <c r="H74" s="139"/>
      <c r="I74" s="139"/>
      <c r="J74" s="139"/>
      <c r="K74" s="139"/>
      <c r="L74" s="139"/>
      <c r="M74" s="139"/>
      <c r="N74" s="139"/>
      <c r="O74" s="139"/>
      <c r="P74" s="139"/>
      <c r="Q74" s="64"/>
      <c r="R74" s="139"/>
      <c r="S74" s="115"/>
      <c r="T74" s="471"/>
      <c r="U74" s="471"/>
      <c r="V74" s="471"/>
      <c r="W74" s="471"/>
      <c r="X74" s="471"/>
      <c r="Y74" s="471"/>
      <c r="Z74" s="471"/>
      <c r="AA74" s="471"/>
      <c r="AB74" s="64"/>
      <c r="AC74" s="115"/>
      <c r="AD74" s="115"/>
      <c r="AE74" s="115"/>
      <c r="AF74" s="471"/>
      <c r="AG74" s="471"/>
      <c r="AH74" s="471"/>
      <c r="AI74" s="471"/>
      <c r="AJ74" s="471"/>
      <c r="AK74" s="471"/>
      <c r="AL74" s="115"/>
      <c r="AM74" s="115"/>
      <c r="AN74" s="64"/>
      <c r="AO74" s="115"/>
      <c r="AP74" s="115"/>
      <c r="AQ74" s="139"/>
      <c r="AR74" s="139"/>
      <c r="AS74" s="139"/>
      <c r="AT74" s="139"/>
      <c r="AU74" s="139"/>
      <c r="AV74" s="139"/>
      <c r="AW74" s="115"/>
      <c r="AX74" s="64"/>
      <c r="AY74" s="139"/>
      <c r="AZ74" s="139"/>
      <c r="BA74" s="139"/>
      <c r="BB74" s="64"/>
      <c r="BC74" s="64"/>
      <c r="BD74" s="139"/>
      <c r="BE74" s="139"/>
      <c r="BF74" s="64"/>
      <c r="BG74" s="115"/>
      <c r="BH74" s="115"/>
      <c r="BI74" s="471"/>
      <c r="BJ74" s="471"/>
      <c r="BK74" s="471"/>
      <c r="BL74" s="471"/>
      <c r="BM74" s="471"/>
      <c r="BN74" s="471"/>
      <c r="BO74" s="115"/>
      <c r="BP74" s="64"/>
      <c r="BQ74" s="139"/>
    </row>
    <row r="75" spans="1:69">
      <c r="A75" s="64"/>
      <c r="B75" s="139"/>
      <c r="C75" s="139"/>
      <c r="D75" s="64"/>
      <c r="E75" s="64"/>
      <c r="F75" s="64"/>
      <c r="G75" s="64"/>
      <c r="H75" s="64"/>
      <c r="I75" s="64"/>
      <c r="J75" s="64"/>
      <c r="K75" s="64"/>
      <c r="L75" s="64"/>
      <c r="M75" s="64"/>
      <c r="N75" s="64"/>
      <c r="O75" s="64"/>
      <c r="P75" s="64"/>
      <c r="Q75" s="64"/>
      <c r="R75" s="64"/>
      <c r="S75" s="64"/>
      <c r="T75" s="64"/>
      <c r="U75" s="64"/>
      <c r="V75" s="64"/>
      <c r="W75" s="64"/>
      <c r="X75" s="64"/>
      <c r="Y75" s="64"/>
      <c r="Z75" s="64"/>
      <c r="AA75" s="64"/>
      <c r="AB75" s="64"/>
      <c r="AC75" s="168"/>
      <c r="AD75" s="168"/>
      <c r="AE75" s="168"/>
      <c r="AF75" s="168"/>
      <c r="AG75" s="168"/>
      <c r="AH75" s="168"/>
      <c r="AI75" s="168"/>
      <c r="AJ75" s="168"/>
      <c r="AK75" s="168"/>
      <c r="AL75" s="64"/>
      <c r="AM75" s="64"/>
      <c r="AN75" s="64"/>
      <c r="AO75" s="64"/>
      <c r="AP75" s="64"/>
      <c r="AQ75" s="64"/>
      <c r="AR75" s="64"/>
      <c r="AS75" s="64"/>
      <c r="AT75" s="64"/>
      <c r="AU75" s="64"/>
      <c r="AV75" s="64"/>
      <c r="AW75" s="64"/>
      <c r="AX75" s="64"/>
      <c r="AY75" s="64"/>
      <c r="AZ75" s="64"/>
      <c r="BA75" s="64"/>
      <c r="BB75" s="64"/>
      <c r="BC75" s="64"/>
      <c r="BD75" s="143"/>
      <c r="BE75" s="143"/>
      <c r="BF75" s="64"/>
      <c r="BG75" s="168"/>
      <c r="BH75" s="168"/>
      <c r="BI75" s="168"/>
      <c r="BJ75" s="168"/>
      <c r="BK75" s="168"/>
      <c r="BL75" s="168"/>
      <c r="BM75" s="168"/>
      <c r="BN75" s="168"/>
      <c r="BO75" s="64"/>
      <c r="BP75" s="64"/>
      <c r="BQ75" s="64"/>
    </row>
    <row r="76" spans="1:69">
      <c r="A76" s="64"/>
      <c r="B76" s="64"/>
      <c r="C76" s="64"/>
      <c r="D76" s="64"/>
      <c r="E76" s="64"/>
      <c r="F76" s="64"/>
      <c r="G76" s="64"/>
      <c r="H76" s="64"/>
      <c r="I76" s="64"/>
      <c r="J76" s="64"/>
      <c r="K76" s="64"/>
      <c r="L76" s="64"/>
      <c r="M76" s="64"/>
      <c r="N76" s="64"/>
      <c r="O76" s="64"/>
      <c r="P76" s="64"/>
      <c r="Q76" s="64"/>
      <c r="R76" s="64"/>
      <c r="S76" s="64"/>
      <c r="T76" s="64"/>
      <c r="U76" s="64"/>
      <c r="V76" s="64"/>
      <c r="W76" s="64"/>
      <c r="X76" s="64"/>
      <c r="Y76" s="64"/>
      <c r="Z76" s="64"/>
      <c r="AA76" s="64"/>
      <c r="AB76" s="64"/>
      <c r="AC76" s="168"/>
      <c r="AD76" s="168"/>
      <c r="AE76" s="168"/>
      <c r="AF76" s="64"/>
      <c r="AG76" s="64"/>
      <c r="AH76" s="64"/>
      <c r="AI76" s="64"/>
      <c r="AJ76" s="64"/>
      <c r="AK76" s="64"/>
      <c r="AL76" s="64"/>
      <c r="AM76" s="64"/>
      <c r="AN76" s="64"/>
      <c r="AO76" s="168"/>
      <c r="AP76" s="168"/>
      <c r="AQ76" s="64"/>
      <c r="AR76" s="64"/>
      <c r="AS76" s="64"/>
      <c r="AT76" s="64"/>
      <c r="AU76" s="64"/>
      <c r="AV76" s="64"/>
      <c r="AW76" s="64"/>
      <c r="AX76" s="64"/>
      <c r="AY76" s="64"/>
      <c r="AZ76" s="64"/>
      <c r="BA76" s="64"/>
      <c r="BB76" s="64"/>
      <c r="BC76" s="64"/>
      <c r="BD76" s="143"/>
      <c r="BE76" s="64"/>
      <c r="BF76" s="64"/>
      <c r="BG76" s="168"/>
      <c r="BH76" s="168"/>
      <c r="BI76" s="64"/>
      <c r="BJ76" s="64"/>
      <c r="BK76" s="64"/>
      <c r="BL76" s="64"/>
      <c r="BM76" s="64"/>
      <c r="BN76" s="64"/>
      <c r="BO76" s="64"/>
      <c r="BP76" s="64"/>
      <c r="BQ76" s="64"/>
    </row>
    <row r="77" spans="1:69">
      <c r="A77" s="115"/>
      <c r="B77" s="121"/>
      <c r="C77" s="121"/>
      <c r="D77" s="121"/>
      <c r="E77" s="121"/>
      <c r="F77" s="121"/>
      <c r="G77" s="121"/>
      <c r="H77" s="121"/>
      <c r="I77" s="121"/>
      <c r="J77" s="121"/>
      <c r="K77" s="121"/>
      <c r="L77" s="121"/>
      <c r="M77" s="121"/>
      <c r="N77" s="121"/>
      <c r="O77" s="121"/>
      <c r="P77" s="121"/>
      <c r="Q77" s="64"/>
      <c r="R77" s="64"/>
      <c r="S77" s="121"/>
      <c r="T77" s="121"/>
      <c r="U77" s="121"/>
      <c r="V77" s="121"/>
      <c r="W77" s="121"/>
      <c r="X77" s="121"/>
      <c r="Y77" s="121"/>
      <c r="Z77" s="121"/>
      <c r="AA77" s="121"/>
      <c r="AB77" s="64"/>
      <c r="AC77" s="121"/>
      <c r="AD77" s="121"/>
      <c r="AE77" s="121"/>
      <c r="AF77" s="121"/>
      <c r="AG77" s="121"/>
      <c r="AH77" s="121"/>
      <c r="AI77" s="121"/>
      <c r="AJ77" s="121"/>
      <c r="AK77" s="121"/>
      <c r="AL77" s="121"/>
      <c r="AM77" s="121"/>
      <c r="AN77" s="64"/>
      <c r="AO77" s="121"/>
      <c r="AP77" s="121"/>
      <c r="AQ77" s="121"/>
      <c r="AR77" s="121"/>
      <c r="AS77" s="121"/>
      <c r="AT77" s="121"/>
      <c r="AU77" s="121"/>
      <c r="AV77" s="121"/>
      <c r="AW77" s="121"/>
      <c r="AX77" s="64"/>
      <c r="AY77" s="121"/>
      <c r="AZ77" s="121"/>
      <c r="BA77" s="121"/>
      <c r="BB77" s="121"/>
      <c r="BC77" s="64"/>
      <c r="BD77" s="121"/>
      <c r="BE77" s="121"/>
      <c r="BF77" s="64"/>
      <c r="BG77" s="121"/>
      <c r="BH77" s="121"/>
      <c r="BI77" s="121"/>
      <c r="BJ77" s="121"/>
      <c r="BK77" s="121"/>
      <c r="BL77" s="121"/>
      <c r="BM77" s="121"/>
      <c r="BN77" s="121"/>
      <c r="BO77" s="121"/>
      <c r="BP77" s="64"/>
      <c r="BQ77" s="121"/>
    </row>
    <row r="78" spans="1:69">
      <c r="A78" s="115"/>
      <c r="B78" s="121"/>
      <c r="C78" s="121"/>
      <c r="D78" s="121"/>
      <c r="E78" s="121"/>
      <c r="F78" s="121"/>
      <c r="G78" s="121"/>
      <c r="H78" s="121"/>
      <c r="I78" s="121"/>
      <c r="J78" s="121"/>
      <c r="K78" s="121"/>
      <c r="L78" s="121"/>
      <c r="M78" s="121"/>
      <c r="N78" s="121"/>
      <c r="O78" s="121"/>
      <c r="P78" s="121"/>
      <c r="Q78" s="121"/>
      <c r="R78" s="120"/>
      <c r="S78" s="121"/>
      <c r="T78" s="121"/>
      <c r="U78" s="121"/>
      <c r="V78" s="121"/>
      <c r="W78" s="121"/>
      <c r="X78" s="121"/>
      <c r="Y78" s="121"/>
      <c r="Z78" s="121"/>
      <c r="AA78" s="121"/>
      <c r="AB78" s="64"/>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64"/>
      <c r="BD78" s="121"/>
      <c r="BE78" s="121"/>
      <c r="BF78" s="121"/>
      <c r="BG78" s="121"/>
      <c r="BH78" s="121"/>
      <c r="BI78" s="121"/>
      <c r="BJ78" s="121"/>
      <c r="BK78" s="121"/>
      <c r="BL78" s="121"/>
      <c r="BM78" s="121"/>
      <c r="BN78" s="121"/>
      <c r="BO78" s="121"/>
      <c r="BP78" s="64"/>
      <c r="BQ78" s="121"/>
    </row>
    <row r="79" spans="1:69">
      <c r="A79" s="115"/>
      <c r="B79" s="121"/>
      <c r="C79" s="121"/>
      <c r="D79" s="121"/>
      <c r="E79" s="121"/>
      <c r="F79" s="121"/>
      <c r="G79" s="121"/>
      <c r="H79" s="121"/>
      <c r="I79" s="121"/>
      <c r="J79" s="121"/>
      <c r="K79" s="121"/>
      <c r="L79" s="121"/>
      <c r="M79" s="121"/>
      <c r="N79" s="121"/>
      <c r="O79" s="121"/>
      <c r="P79" s="121"/>
      <c r="Q79" s="121"/>
      <c r="R79" s="120"/>
      <c r="S79" s="121"/>
      <c r="T79" s="121"/>
      <c r="U79" s="121"/>
      <c r="V79" s="121"/>
      <c r="W79" s="121"/>
      <c r="X79" s="121"/>
      <c r="Y79" s="121"/>
      <c r="Z79" s="121"/>
      <c r="AA79" s="121"/>
      <c r="AB79" s="64"/>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64"/>
      <c r="BD79" s="121"/>
      <c r="BE79" s="121"/>
      <c r="BF79" s="121"/>
      <c r="BG79" s="121"/>
      <c r="BH79" s="121"/>
      <c r="BI79" s="121"/>
      <c r="BJ79" s="121"/>
      <c r="BK79" s="121"/>
      <c r="BL79" s="121"/>
      <c r="BM79" s="121"/>
      <c r="BN79" s="121"/>
      <c r="BO79" s="121"/>
      <c r="BP79" s="64"/>
      <c r="BQ79" s="121"/>
    </row>
    <row r="80" spans="1:69">
      <c r="A80" s="115"/>
      <c r="B80" s="121"/>
      <c r="C80" s="121"/>
      <c r="D80" s="121"/>
      <c r="E80" s="121"/>
      <c r="F80" s="121"/>
      <c r="G80" s="121"/>
      <c r="H80" s="121"/>
      <c r="I80" s="121"/>
      <c r="J80" s="121"/>
      <c r="K80" s="121"/>
      <c r="L80" s="121"/>
      <c r="M80" s="121"/>
      <c r="N80" s="121"/>
      <c r="O80" s="121"/>
      <c r="P80" s="121"/>
      <c r="Q80" s="121"/>
      <c r="R80" s="120"/>
      <c r="S80" s="121"/>
      <c r="T80" s="121"/>
      <c r="U80" s="121"/>
      <c r="V80" s="121"/>
      <c r="W80" s="121"/>
      <c r="X80" s="121"/>
      <c r="Y80" s="121"/>
      <c r="Z80" s="121"/>
      <c r="AA80" s="121"/>
      <c r="AB80" s="64"/>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64"/>
      <c r="BD80" s="121"/>
      <c r="BE80" s="121"/>
      <c r="BF80" s="121"/>
      <c r="BG80" s="121"/>
      <c r="BH80" s="121"/>
      <c r="BI80" s="121"/>
      <c r="BJ80" s="121"/>
      <c r="BK80" s="121"/>
      <c r="BL80" s="121"/>
      <c r="BM80" s="121"/>
      <c r="BN80" s="121"/>
      <c r="BO80" s="121"/>
      <c r="BP80" s="64"/>
      <c r="BQ80" s="121"/>
    </row>
    <row r="81" spans="1:69">
      <c r="A81" s="115"/>
      <c r="B81" s="121"/>
      <c r="C81" s="121"/>
      <c r="D81" s="121"/>
      <c r="E81" s="121"/>
      <c r="F81" s="121"/>
      <c r="G81" s="121"/>
      <c r="H81" s="121"/>
      <c r="I81" s="121"/>
      <c r="J81" s="121"/>
      <c r="K81" s="121"/>
      <c r="L81" s="121"/>
      <c r="M81" s="121"/>
      <c r="N81" s="121"/>
      <c r="O81" s="121"/>
      <c r="P81" s="121"/>
      <c r="Q81" s="121"/>
      <c r="R81" s="120"/>
      <c r="S81" s="121"/>
      <c r="T81" s="121"/>
      <c r="U81" s="121"/>
      <c r="V81" s="121"/>
      <c r="W81" s="121"/>
      <c r="X81" s="121"/>
      <c r="Y81" s="121"/>
      <c r="Z81" s="121"/>
      <c r="AA81" s="121"/>
      <c r="AB81" s="64"/>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64"/>
      <c r="BD81" s="121"/>
      <c r="BE81" s="121"/>
      <c r="BF81" s="121"/>
      <c r="BG81" s="121"/>
      <c r="BH81" s="121"/>
      <c r="BI81" s="121"/>
      <c r="BJ81" s="121"/>
      <c r="BK81" s="121"/>
      <c r="BL81" s="121"/>
      <c r="BM81" s="121"/>
      <c r="BN81" s="121"/>
      <c r="BO81" s="121"/>
      <c r="BP81" s="64"/>
      <c r="BQ81" s="121"/>
    </row>
    <row r="82" spans="1:69">
      <c r="A82" s="115"/>
      <c r="B82" s="121"/>
      <c r="C82" s="121"/>
      <c r="D82" s="121"/>
      <c r="E82" s="121"/>
      <c r="F82" s="121"/>
      <c r="G82" s="121"/>
      <c r="H82" s="121"/>
      <c r="I82" s="121"/>
      <c r="J82" s="121"/>
      <c r="K82" s="121"/>
      <c r="L82" s="121"/>
      <c r="M82" s="121"/>
      <c r="N82" s="121"/>
      <c r="O82" s="121"/>
      <c r="P82" s="121"/>
      <c r="Q82" s="121"/>
      <c r="R82" s="120"/>
      <c r="S82" s="121"/>
      <c r="T82" s="121"/>
      <c r="U82" s="121"/>
      <c r="V82" s="121"/>
      <c r="W82" s="121"/>
      <c r="X82" s="121"/>
      <c r="Y82" s="121"/>
      <c r="Z82" s="121"/>
      <c r="AA82" s="121"/>
      <c r="AB82" s="64"/>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64"/>
      <c r="BD82" s="121"/>
      <c r="BE82" s="121"/>
      <c r="BF82" s="121"/>
      <c r="BG82" s="121"/>
      <c r="BH82" s="121"/>
      <c r="BI82" s="121"/>
      <c r="BJ82" s="121"/>
      <c r="BK82" s="121"/>
      <c r="BL82" s="121"/>
      <c r="BM82" s="121"/>
      <c r="BN82" s="121"/>
      <c r="BO82" s="121"/>
      <c r="BP82" s="121"/>
      <c r="BQ82" s="121"/>
    </row>
    <row r="83" spans="1:69">
      <c r="A83" s="115"/>
      <c r="B83" s="121"/>
      <c r="C83" s="121"/>
      <c r="D83" s="121"/>
      <c r="E83" s="121"/>
      <c r="F83" s="121"/>
      <c r="G83" s="121"/>
      <c r="H83" s="121"/>
      <c r="I83" s="121"/>
      <c r="J83" s="121"/>
      <c r="K83" s="121"/>
      <c r="L83" s="121"/>
      <c r="M83" s="121"/>
      <c r="N83" s="121"/>
      <c r="O83" s="121"/>
      <c r="P83" s="121"/>
      <c r="Q83" s="121"/>
      <c r="R83" s="120"/>
      <c r="S83" s="121"/>
      <c r="T83" s="121"/>
      <c r="U83" s="121"/>
      <c r="V83" s="121"/>
      <c r="W83" s="121"/>
      <c r="X83" s="121"/>
      <c r="Y83" s="121"/>
      <c r="Z83" s="121"/>
      <c r="AA83" s="121"/>
      <c r="AB83" s="64"/>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64"/>
      <c r="BD83" s="121"/>
      <c r="BE83" s="121"/>
      <c r="BF83" s="121"/>
      <c r="BG83" s="121"/>
      <c r="BH83" s="121"/>
      <c r="BI83" s="121"/>
      <c r="BJ83" s="121"/>
      <c r="BK83" s="121"/>
      <c r="BL83" s="121"/>
      <c r="BM83" s="121"/>
      <c r="BN83" s="121"/>
      <c r="BO83" s="121"/>
      <c r="BP83" s="121"/>
      <c r="BQ83" s="121"/>
    </row>
    <row r="84" spans="1:69">
      <c r="A84" s="115"/>
      <c r="B84" s="121"/>
      <c r="C84" s="121"/>
      <c r="D84" s="121"/>
      <c r="E84" s="121"/>
      <c r="F84" s="121"/>
      <c r="G84" s="121"/>
      <c r="H84" s="121"/>
      <c r="I84" s="121"/>
      <c r="J84" s="121"/>
      <c r="K84" s="121"/>
      <c r="L84" s="121"/>
      <c r="M84" s="121"/>
      <c r="N84" s="121"/>
      <c r="O84" s="121"/>
      <c r="P84" s="121"/>
      <c r="Q84" s="121"/>
      <c r="R84" s="120"/>
      <c r="S84" s="121"/>
      <c r="T84" s="121"/>
      <c r="U84" s="121"/>
      <c r="V84" s="121"/>
      <c r="W84" s="121"/>
      <c r="X84" s="121"/>
      <c r="Y84" s="121"/>
      <c r="Z84" s="121"/>
      <c r="AA84" s="121"/>
      <c r="AB84" s="64"/>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64"/>
      <c r="BD84" s="121"/>
      <c r="BE84" s="121"/>
      <c r="BF84" s="121"/>
      <c r="BG84" s="121"/>
      <c r="BH84" s="121"/>
      <c r="BI84" s="121"/>
      <c r="BJ84" s="121"/>
      <c r="BK84" s="121"/>
      <c r="BL84" s="121"/>
      <c r="BM84" s="121"/>
      <c r="BN84" s="121"/>
      <c r="BO84" s="121"/>
      <c r="BP84" s="121"/>
      <c r="BQ84" s="121"/>
    </row>
    <row r="85" spans="1:69">
      <c r="A85" s="115"/>
      <c r="B85" s="121"/>
      <c r="C85" s="121"/>
      <c r="D85" s="121"/>
      <c r="E85" s="121"/>
      <c r="F85" s="121"/>
      <c r="G85" s="121"/>
      <c r="H85" s="121"/>
      <c r="I85" s="121"/>
      <c r="J85" s="121"/>
      <c r="K85" s="121"/>
      <c r="L85" s="121"/>
      <c r="M85" s="121"/>
      <c r="N85" s="121"/>
      <c r="O85" s="121"/>
      <c r="P85" s="121"/>
      <c r="Q85" s="121"/>
      <c r="R85" s="120"/>
      <c r="S85" s="121"/>
      <c r="T85" s="121"/>
      <c r="U85" s="121"/>
      <c r="V85" s="121"/>
      <c r="W85" s="121"/>
      <c r="X85" s="121"/>
      <c r="Y85" s="121"/>
      <c r="Z85" s="121"/>
      <c r="AA85" s="121"/>
      <c r="AB85" s="64"/>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64"/>
      <c r="BD85" s="121"/>
      <c r="BE85" s="121"/>
      <c r="BF85" s="121"/>
      <c r="BG85" s="121"/>
      <c r="BH85" s="121"/>
      <c r="BI85" s="121"/>
      <c r="BJ85" s="121"/>
      <c r="BK85" s="121"/>
      <c r="BL85" s="121"/>
      <c r="BM85" s="121"/>
      <c r="BN85" s="121"/>
      <c r="BO85" s="121"/>
      <c r="BP85" s="121"/>
      <c r="BQ85" s="121"/>
    </row>
    <row r="86" spans="1:69">
      <c r="A86" s="115"/>
      <c r="B86" s="121"/>
      <c r="C86" s="121"/>
      <c r="D86" s="121"/>
      <c r="E86" s="121"/>
      <c r="F86" s="121"/>
      <c r="G86" s="121"/>
      <c r="H86" s="121"/>
      <c r="I86" s="121"/>
      <c r="J86" s="121"/>
      <c r="K86" s="121"/>
      <c r="L86" s="121"/>
      <c r="M86" s="121"/>
      <c r="N86" s="121"/>
      <c r="O86" s="121"/>
      <c r="P86" s="121"/>
      <c r="Q86" s="121"/>
      <c r="R86" s="120"/>
      <c r="S86" s="121"/>
      <c r="T86" s="121"/>
      <c r="U86" s="121"/>
      <c r="V86" s="121"/>
      <c r="W86" s="121"/>
      <c r="X86" s="121"/>
      <c r="Y86" s="121"/>
      <c r="Z86" s="121"/>
      <c r="AA86" s="121"/>
      <c r="AB86" s="64"/>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64"/>
      <c r="BD86" s="121"/>
      <c r="BE86" s="121"/>
      <c r="BF86" s="121"/>
      <c r="BG86" s="121"/>
      <c r="BH86" s="121"/>
      <c r="BI86" s="121"/>
      <c r="BJ86" s="121"/>
      <c r="BK86" s="121"/>
      <c r="BL86" s="121"/>
      <c r="BM86" s="121"/>
      <c r="BN86" s="121"/>
      <c r="BO86" s="121"/>
      <c r="BP86" s="121"/>
      <c r="BQ86" s="121"/>
    </row>
    <row r="87" spans="1:69">
      <c r="A87" s="115"/>
      <c r="B87" s="121"/>
      <c r="C87" s="121"/>
      <c r="D87" s="121"/>
      <c r="E87" s="121"/>
      <c r="F87" s="121"/>
      <c r="G87" s="121"/>
      <c r="H87" s="121"/>
      <c r="I87" s="121"/>
      <c r="J87" s="121"/>
      <c r="K87" s="121"/>
      <c r="L87" s="121"/>
      <c r="M87" s="121"/>
      <c r="N87" s="121"/>
      <c r="O87" s="121"/>
      <c r="P87" s="121"/>
      <c r="Q87" s="121"/>
      <c r="R87" s="120"/>
      <c r="S87" s="121"/>
      <c r="T87" s="121"/>
      <c r="U87" s="121"/>
      <c r="V87" s="121"/>
      <c r="W87" s="121"/>
      <c r="X87" s="121"/>
      <c r="Y87" s="121"/>
      <c r="Z87" s="121"/>
      <c r="AA87" s="121"/>
      <c r="AB87" s="64"/>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64"/>
      <c r="BD87" s="121"/>
      <c r="BE87" s="121"/>
      <c r="BF87" s="121"/>
      <c r="BG87" s="121"/>
      <c r="BH87" s="121"/>
      <c r="BI87" s="121"/>
      <c r="BJ87" s="121"/>
      <c r="BK87" s="121"/>
      <c r="BL87" s="121"/>
      <c r="BM87" s="121"/>
      <c r="BN87" s="121"/>
      <c r="BO87" s="121"/>
      <c r="BP87" s="121"/>
      <c r="BQ87" s="121"/>
    </row>
    <row r="88" spans="1:69">
      <c r="A88" s="115"/>
      <c r="B88" s="121"/>
      <c r="C88" s="121"/>
      <c r="D88" s="121"/>
      <c r="E88" s="121"/>
      <c r="F88" s="121"/>
      <c r="G88" s="121"/>
      <c r="H88" s="121"/>
      <c r="I88" s="121"/>
      <c r="J88" s="121"/>
      <c r="K88" s="121"/>
      <c r="L88" s="121"/>
      <c r="M88" s="121"/>
      <c r="N88" s="121"/>
      <c r="O88" s="121"/>
      <c r="P88" s="121"/>
      <c r="Q88" s="121"/>
      <c r="R88" s="120"/>
      <c r="S88" s="121"/>
      <c r="T88" s="121"/>
      <c r="U88" s="121"/>
      <c r="V88" s="121"/>
      <c r="W88" s="121"/>
      <c r="X88" s="121"/>
      <c r="Y88" s="121"/>
      <c r="Z88" s="121"/>
      <c r="AA88" s="121"/>
      <c r="AB88" s="64"/>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64"/>
      <c r="BD88" s="121"/>
      <c r="BE88" s="121"/>
      <c r="BF88" s="121"/>
      <c r="BG88" s="121"/>
      <c r="BH88" s="121"/>
      <c r="BI88" s="121"/>
      <c r="BJ88" s="121"/>
      <c r="BK88" s="121"/>
      <c r="BL88" s="121"/>
      <c r="BM88" s="121"/>
      <c r="BN88" s="121"/>
      <c r="BO88" s="121"/>
      <c r="BP88" s="121"/>
      <c r="BQ88" s="121"/>
    </row>
    <row r="89" spans="1:69">
      <c r="A89" s="115"/>
      <c r="B89" s="121"/>
      <c r="C89" s="121"/>
      <c r="D89" s="121"/>
      <c r="E89" s="121"/>
      <c r="F89" s="121"/>
      <c r="G89" s="121"/>
      <c r="H89" s="121"/>
      <c r="I89" s="121"/>
      <c r="J89" s="121"/>
      <c r="K89" s="121"/>
      <c r="L89" s="121"/>
      <c r="M89" s="121"/>
      <c r="N89" s="121"/>
      <c r="O89" s="121"/>
      <c r="P89" s="121"/>
      <c r="Q89" s="121"/>
      <c r="R89" s="120"/>
      <c r="S89" s="121"/>
      <c r="T89" s="121"/>
      <c r="U89" s="121"/>
      <c r="V89" s="121"/>
      <c r="W89" s="121"/>
      <c r="X89" s="121"/>
      <c r="Y89" s="121"/>
      <c r="Z89" s="121"/>
      <c r="AA89" s="121"/>
      <c r="AB89" s="64"/>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64"/>
      <c r="BD89" s="121"/>
      <c r="BE89" s="121"/>
      <c r="BF89" s="121"/>
      <c r="BG89" s="121"/>
      <c r="BH89" s="121"/>
      <c r="BI89" s="121"/>
      <c r="BJ89" s="121"/>
      <c r="BK89" s="121"/>
      <c r="BL89" s="121"/>
      <c r="BM89" s="121"/>
      <c r="BN89" s="121"/>
      <c r="BO89" s="121"/>
      <c r="BP89" s="121"/>
      <c r="BQ89" s="121"/>
    </row>
    <row r="90" spans="1:69">
      <c r="A90" s="115"/>
      <c r="B90" s="121"/>
      <c r="C90" s="121"/>
      <c r="D90" s="121"/>
      <c r="E90" s="121"/>
      <c r="F90" s="121"/>
      <c r="G90" s="121"/>
      <c r="H90" s="121"/>
      <c r="I90" s="121"/>
      <c r="J90" s="121"/>
      <c r="K90" s="121"/>
      <c r="L90" s="121"/>
      <c r="M90" s="121"/>
      <c r="N90" s="121"/>
      <c r="O90" s="121"/>
      <c r="P90" s="121"/>
      <c r="Q90" s="121"/>
      <c r="R90" s="120"/>
      <c r="S90" s="121"/>
      <c r="T90" s="121"/>
      <c r="U90" s="121"/>
      <c r="V90" s="121"/>
      <c r="W90" s="121"/>
      <c r="X90" s="121"/>
      <c r="Y90" s="121"/>
      <c r="Z90" s="121"/>
      <c r="AA90" s="121"/>
      <c r="AB90" s="64"/>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64"/>
      <c r="BD90" s="121"/>
      <c r="BE90" s="121"/>
      <c r="BF90" s="121"/>
      <c r="BG90" s="121"/>
      <c r="BH90" s="121"/>
      <c r="BI90" s="121"/>
      <c r="BJ90" s="121"/>
      <c r="BK90" s="121"/>
      <c r="BL90" s="121"/>
      <c r="BM90" s="121"/>
      <c r="BN90" s="121"/>
      <c r="BO90" s="121"/>
      <c r="BP90" s="121"/>
      <c r="BQ90" s="121"/>
    </row>
    <row r="91" spans="1:69">
      <c r="A91" s="115"/>
      <c r="B91" s="121"/>
      <c r="C91" s="121"/>
      <c r="D91" s="121"/>
      <c r="E91" s="121"/>
      <c r="F91" s="121"/>
      <c r="G91" s="121"/>
      <c r="H91" s="121"/>
      <c r="I91" s="121"/>
      <c r="J91" s="121"/>
      <c r="K91" s="121"/>
      <c r="L91" s="121"/>
      <c r="M91" s="121"/>
      <c r="N91" s="121"/>
      <c r="O91" s="121"/>
      <c r="P91" s="121"/>
      <c r="Q91" s="121"/>
      <c r="R91" s="120"/>
      <c r="S91" s="121"/>
      <c r="T91" s="121"/>
      <c r="U91" s="121"/>
      <c r="V91" s="121"/>
      <c r="W91" s="121"/>
      <c r="X91" s="121"/>
      <c r="Y91" s="121"/>
      <c r="Z91" s="121"/>
      <c r="AA91" s="121"/>
      <c r="AB91" s="64"/>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64"/>
      <c r="BD91" s="121"/>
      <c r="BE91" s="121"/>
      <c r="BF91" s="121"/>
      <c r="BG91" s="121"/>
      <c r="BH91" s="121"/>
      <c r="BI91" s="121"/>
      <c r="BJ91" s="121"/>
      <c r="BK91" s="121"/>
      <c r="BL91" s="121"/>
      <c r="BM91" s="121"/>
      <c r="BN91" s="121"/>
      <c r="BO91" s="121"/>
      <c r="BP91" s="121"/>
      <c r="BQ91" s="121"/>
    </row>
    <row r="92" spans="1:69">
      <c r="A92" s="115"/>
      <c r="B92" s="121"/>
      <c r="C92" s="121"/>
      <c r="D92" s="121"/>
      <c r="E92" s="121"/>
      <c r="F92" s="121"/>
      <c r="G92" s="121"/>
      <c r="H92" s="121"/>
      <c r="I92" s="121"/>
      <c r="J92" s="121"/>
      <c r="K92" s="121"/>
      <c r="L92" s="121"/>
      <c r="M92" s="121"/>
      <c r="N92" s="121"/>
      <c r="O92" s="121"/>
      <c r="P92" s="121"/>
      <c r="Q92" s="121"/>
      <c r="R92" s="120"/>
      <c r="S92" s="121"/>
      <c r="T92" s="121"/>
      <c r="U92" s="121"/>
      <c r="V92" s="121"/>
      <c r="W92" s="121"/>
      <c r="X92" s="121"/>
      <c r="Y92" s="121"/>
      <c r="Z92" s="121"/>
      <c r="AA92" s="121"/>
      <c r="AB92" s="64"/>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64"/>
      <c r="BD92" s="121"/>
      <c r="BE92" s="121"/>
      <c r="BF92" s="121"/>
      <c r="BG92" s="121"/>
      <c r="BH92" s="121"/>
      <c r="BI92" s="121"/>
      <c r="BJ92" s="121"/>
      <c r="BK92" s="121"/>
      <c r="BL92" s="121"/>
      <c r="BM92" s="121"/>
      <c r="BN92" s="121"/>
      <c r="BO92" s="121"/>
      <c r="BP92" s="121"/>
      <c r="BQ92" s="121"/>
    </row>
    <row r="93" spans="1:69">
      <c r="A93" s="115"/>
      <c r="B93" s="121"/>
      <c r="C93" s="121"/>
      <c r="D93" s="121"/>
      <c r="E93" s="121"/>
      <c r="F93" s="121"/>
      <c r="G93" s="121"/>
      <c r="H93" s="121"/>
      <c r="I93" s="121"/>
      <c r="J93" s="121"/>
      <c r="K93" s="121"/>
      <c r="L93" s="121"/>
      <c r="M93" s="121"/>
      <c r="N93" s="121"/>
      <c r="O93" s="121"/>
      <c r="P93" s="121"/>
      <c r="Q93" s="121"/>
      <c r="R93" s="120"/>
      <c r="S93" s="121"/>
      <c r="T93" s="121"/>
      <c r="U93" s="121"/>
      <c r="V93" s="121"/>
      <c r="W93" s="121"/>
      <c r="X93" s="121"/>
      <c r="Y93" s="121"/>
      <c r="Z93" s="121"/>
      <c r="AA93" s="121"/>
      <c r="AB93" s="64"/>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64"/>
      <c r="BD93" s="121"/>
      <c r="BE93" s="121"/>
      <c r="BF93" s="121"/>
      <c r="BG93" s="121"/>
      <c r="BH93" s="121"/>
      <c r="BI93" s="121"/>
      <c r="BJ93" s="121"/>
      <c r="BK93" s="121"/>
      <c r="BL93" s="121"/>
      <c r="BM93" s="121"/>
      <c r="BN93" s="121"/>
      <c r="BO93" s="121"/>
      <c r="BP93" s="121"/>
      <c r="BQ93" s="121"/>
    </row>
    <row r="94" spans="1:69">
      <c r="A94" s="115"/>
      <c r="B94" s="121"/>
      <c r="C94" s="121"/>
      <c r="D94" s="121"/>
      <c r="E94" s="121"/>
      <c r="F94" s="121"/>
      <c r="G94" s="121"/>
      <c r="H94" s="121"/>
      <c r="I94" s="121"/>
      <c r="J94" s="121"/>
      <c r="K94" s="121"/>
      <c r="L94" s="121"/>
      <c r="M94" s="121"/>
      <c r="N94" s="121"/>
      <c r="O94" s="121"/>
      <c r="P94" s="121"/>
      <c r="Q94" s="121"/>
      <c r="R94" s="120"/>
      <c r="S94" s="121"/>
      <c r="T94" s="121"/>
      <c r="U94" s="121"/>
      <c r="V94" s="121"/>
      <c r="W94" s="121"/>
      <c r="X94" s="121"/>
      <c r="Y94" s="121"/>
      <c r="Z94" s="121"/>
      <c r="AA94" s="121"/>
      <c r="AB94" s="64"/>
      <c r="AC94" s="121"/>
      <c r="AD94" s="121"/>
      <c r="AE94" s="121"/>
      <c r="AF94" s="121"/>
      <c r="AG94" s="121"/>
      <c r="AH94" s="121"/>
      <c r="AI94" s="121"/>
      <c r="AJ94" s="121"/>
      <c r="AK94" s="121"/>
      <c r="AL94" s="121"/>
      <c r="AM94" s="121"/>
      <c r="AN94" s="121"/>
      <c r="AO94" s="121"/>
      <c r="AP94" s="121"/>
      <c r="AQ94" s="121"/>
      <c r="AR94" s="121"/>
      <c r="AS94" s="121"/>
      <c r="AT94" s="121"/>
      <c r="AU94" s="121"/>
      <c r="AV94" s="121"/>
      <c r="AW94" s="121"/>
      <c r="AX94" s="121"/>
      <c r="AY94" s="121"/>
      <c r="AZ94" s="121"/>
      <c r="BA94" s="121"/>
      <c r="BB94" s="121"/>
      <c r="BC94" s="64"/>
      <c r="BD94" s="121"/>
      <c r="BE94" s="121"/>
      <c r="BF94" s="121"/>
      <c r="BG94" s="121"/>
      <c r="BH94" s="121"/>
      <c r="BI94" s="121"/>
      <c r="BJ94" s="121"/>
      <c r="BK94" s="121"/>
      <c r="BL94" s="121"/>
      <c r="BM94" s="121"/>
      <c r="BN94" s="121"/>
      <c r="BO94" s="121"/>
      <c r="BP94" s="121"/>
      <c r="BQ94" s="121"/>
    </row>
    <row r="95" spans="1:69">
      <c r="A95" s="115"/>
      <c r="B95" s="121"/>
      <c r="C95" s="121"/>
      <c r="D95" s="121"/>
      <c r="E95" s="121"/>
      <c r="F95" s="121"/>
      <c r="G95" s="121"/>
      <c r="H95" s="121"/>
      <c r="I95" s="121"/>
      <c r="J95" s="121"/>
      <c r="K95" s="121"/>
      <c r="L95" s="121"/>
      <c r="M95" s="121"/>
      <c r="N95" s="121"/>
      <c r="O95" s="121"/>
      <c r="P95" s="121"/>
      <c r="Q95" s="121"/>
      <c r="R95" s="120"/>
      <c r="S95" s="121"/>
      <c r="T95" s="121"/>
      <c r="U95" s="121"/>
      <c r="V95" s="121"/>
      <c r="W95" s="121"/>
      <c r="X95" s="121"/>
      <c r="Y95" s="121"/>
      <c r="Z95" s="121"/>
      <c r="AA95" s="121"/>
      <c r="AB95" s="64"/>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64"/>
      <c r="BD95" s="121"/>
      <c r="BE95" s="121"/>
      <c r="BF95" s="121"/>
      <c r="BG95" s="121"/>
      <c r="BH95" s="121"/>
      <c r="BI95" s="121"/>
      <c r="BJ95" s="121"/>
      <c r="BK95" s="121"/>
      <c r="BL95" s="121"/>
      <c r="BM95" s="121"/>
      <c r="BN95" s="121"/>
      <c r="BO95" s="121"/>
      <c r="BP95" s="121"/>
      <c r="BQ95" s="121"/>
    </row>
    <row r="96" spans="1:69">
      <c r="A96" s="115"/>
      <c r="B96" s="121"/>
      <c r="C96" s="121"/>
      <c r="D96" s="121"/>
      <c r="E96" s="121"/>
      <c r="F96" s="121"/>
      <c r="G96" s="121"/>
      <c r="H96" s="121"/>
      <c r="I96" s="121"/>
      <c r="J96" s="121"/>
      <c r="K96" s="121"/>
      <c r="L96" s="121"/>
      <c r="M96" s="121"/>
      <c r="N96" s="121"/>
      <c r="O96" s="121"/>
      <c r="P96" s="121"/>
      <c r="Q96" s="121"/>
      <c r="R96" s="120"/>
      <c r="S96" s="121"/>
      <c r="T96" s="121"/>
      <c r="U96" s="121"/>
      <c r="V96" s="121"/>
      <c r="W96" s="121"/>
      <c r="X96" s="121"/>
      <c r="Y96" s="121"/>
      <c r="Z96" s="121"/>
      <c r="AA96" s="121"/>
      <c r="AB96" s="64"/>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64"/>
      <c r="BD96" s="121"/>
      <c r="BE96" s="121"/>
      <c r="BF96" s="121"/>
      <c r="BG96" s="121"/>
      <c r="BH96" s="121"/>
      <c r="BI96" s="121"/>
      <c r="BJ96" s="121"/>
      <c r="BK96" s="121"/>
      <c r="BL96" s="121"/>
      <c r="BM96" s="121"/>
      <c r="BN96" s="121"/>
      <c r="BO96" s="121"/>
      <c r="BP96" s="121"/>
      <c r="BQ96" s="121"/>
    </row>
    <row r="97" spans="1:69">
      <c r="A97" s="115"/>
      <c r="B97" s="121"/>
      <c r="C97" s="121"/>
      <c r="D97" s="121"/>
      <c r="E97" s="121"/>
      <c r="F97" s="121"/>
      <c r="G97" s="121"/>
      <c r="H97" s="121"/>
      <c r="I97" s="121"/>
      <c r="J97" s="121"/>
      <c r="K97" s="121"/>
      <c r="L97" s="121"/>
      <c r="M97" s="121"/>
      <c r="N97" s="121"/>
      <c r="O97" s="121"/>
      <c r="P97" s="121"/>
      <c r="Q97" s="121"/>
      <c r="R97" s="120"/>
      <c r="S97" s="121"/>
      <c r="T97" s="121"/>
      <c r="U97" s="121"/>
      <c r="V97" s="121"/>
      <c r="W97" s="121"/>
      <c r="X97" s="121"/>
      <c r="Y97" s="121"/>
      <c r="Z97" s="121"/>
      <c r="AA97" s="121"/>
      <c r="AB97" s="64"/>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64"/>
      <c r="BD97" s="121"/>
      <c r="BE97" s="121"/>
      <c r="BF97" s="121"/>
      <c r="BG97" s="121"/>
      <c r="BH97" s="121"/>
      <c r="BI97" s="121"/>
      <c r="BJ97" s="121"/>
      <c r="BK97" s="121"/>
      <c r="BL97" s="121"/>
      <c r="BM97" s="121"/>
      <c r="BN97" s="121"/>
      <c r="BO97" s="121"/>
      <c r="BP97" s="121"/>
      <c r="BQ97" s="121"/>
    </row>
    <row r="98" spans="1:69">
      <c r="A98" s="115"/>
      <c r="B98" s="121"/>
      <c r="C98" s="121"/>
      <c r="D98" s="121"/>
      <c r="E98" s="121"/>
      <c r="F98" s="121"/>
      <c r="G98" s="121"/>
      <c r="H98" s="121"/>
      <c r="I98" s="121"/>
      <c r="J98" s="121"/>
      <c r="K98" s="121"/>
      <c r="L98" s="121"/>
      <c r="M98" s="121"/>
      <c r="N98" s="121"/>
      <c r="O98" s="121"/>
      <c r="P98" s="121"/>
      <c r="Q98" s="121"/>
      <c r="R98" s="120"/>
      <c r="S98" s="121"/>
      <c r="T98" s="121"/>
      <c r="U98" s="121"/>
      <c r="V98" s="121"/>
      <c r="W98" s="121"/>
      <c r="X98" s="121"/>
      <c r="Y98" s="121"/>
      <c r="Z98" s="121"/>
      <c r="AA98" s="121"/>
      <c r="AB98" s="64"/>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64"/>
      <c r="BD98" s="121"/>
      <c r="BE98" s="121"/>
      <c r="BF98" s="121"/>
      <c r="BG98" s="121"/>
      <c r="BH98" s="121"/>
      <c r="BI98" s="121"/>
      <c r="BJ98" s="121"/>
      <c r="BK98" s="121"/>
      <c r="BL98" s="121"/>
      <c r="BM98" s="121"/>
      <c r="BN98" s="121"/>
      <c r="BO98" s="121"/>
      <c r="BP98" s="121"/>
      <c r="BQ98" s="121"/>
    </row>
    <row r="99" spans="1:69">
      <c r="A99" s="115"/>
      <c r="B99" s="121"/>
      <c r="C99" s="121"/>
      <c r="D99" s="121"/>
      <c r="E99" s="121"/>
      <c r="F99" s="121"/>
      <c r="G99" s="121"/>
      <c r="H99" s="121"/>
      <c r="I99" s="121"/>
      <c r="J99" s="121"/>
      <c r="K99" s="121"/>
      <c r="L99" s="121"/>
      <c r="M99" s="121"/>
      <c r="N99" s="121"/>
      <c r="O99" s="121"/>
      <c r="P99" s="121"/>
      <c r="Q99" s="121"/>
      <c r="R99" s="120"/>
      <c r="S99" s="121"/>
      <c r="T99" s="121"/>
      <c r="U99" s="121"/>
      <c r="V99" s="121"/>
      <c r="W99" s="121"/>
      <c r="X99" s="121"/>
      <c r="Y99" s="121"/>
      <c r="Z99" s="121"/>
      <c r="AA99" s="121"/>
      <c r="AB99" s="64"/>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64"/>
      <c r="BD99" s="121"/>
      <c r="BE99" s="121"/>
      <c r="BF99" s="121"/>
      <c r="BG99" s="121"/>
      <c r="BH99" s="121"/>
      <c r="BI99" s="121"/>
      <c r="BJ99" s="121"/>
      <c r="BK99" s="121"/>
      <c r="BL99" s="121"/>
      <c r="BM99" s="121"/>
      <c r="BN99" s="121"/>
      <c r="BO99" s="121"/>
      <c r="BP99" s="121"/>
      <c r="BQ99" s="121"/>
    </row>
    <row r="100" spans="1:69">
      <c r="A100" s="115"/>
      <c r="B100" s="121"/>
      <c r="C100" s="121"/>
      <c r="D100" s="121"/>
      <c r="E100" s="121"/>
      <c r="F100" s="121"/>
      <c r="G100" s="121"/>
      <c r="H100" s="121"/>
      <c r="I100" s="121"/>
      <c r="J100" s="121"/>
      <c r="K100" s="121"/>
      <c r="L100" s="121"/>
      <c r="M100" s="121"/>
      <c r="N100" s="121"/>
      <c r="O100" s="121"/>
      <c r="P100" s="121"/>
      <c r="Q100" s="121"/>
      <c r="R100" s="120"/>
      <c r="S100" s="121"/>
      <c r="T100" s="121"/>
      <c r="U100" s="121"/>
      <c r="V100" s="121"/>
      <c r="W100" s="121"/>
      <c r="X100" s="121"/>
      <c r="Y100" s="121"/>
      <c r="Z100" s="121"/>
      <c r="AA100" s="121"/>
      <c r="AB100" s="64"/>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64"/>
      <c r="BD100" s="121"/>
      <c r="BE100" s="121"/>
      <c r="BF100" s="121"/>
      <c r="BG100" s="121"/>
      <c r="BH100" s="121"/>
      <c r="BI100" s="121"/>
      <c r="BJ100" s="121"/>
      <c r="BK100" s="121"/>
      <c r="BL100" s="121"/>
      <c r="BM100" s="121"/>
      <c r="BN100" s="121"/>
      <c r="BO100" s="121"/>
      <c r="BP100" s="121"/>
      <c r="BQ100" s="121"/>
    </row>
    <row r="101" spans="1:69">
      <c r="A101" s="115"/>
      <c r="B101" s="121"/>
      <c r="C101" s="121"/>
      <c r="D101" s="121"/>
      <c r="E101" s="121"/>
      <c r="F101" s="121"/>
      <c r="G101" s="121"/>
      <c r="H101" s="121"/>
      <c r="I101" s="121"/>
      <c r="J101" s="121"/>
      <c r="K101" s="121"/>
      <c r="L101" s="121"/>
      <c r="M101" s="121"/>
      <c r="N101" s="121"/>
      <c r="O101" s="121"/>
      <c r="P101" s="121"/>
      <c r="Q101" s="121"/>
      <c r="R101" s="120"/>
      <c r="S101" s="121"/>
      <c r="T101" s="121"/>
      <c r="U101" s="121"/>
      <c r="V101" s="121"/>
      <c r="W101" s="121"/>
      <c r="X101" s="121"/>
      <c r="Y101" s="121"/>
      <c r="Z101" s="121"/>
      <c r="AA101" s="121"/>
      <c r="AB101" s="64"/>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64"/>
      <c r="BD101" s="121"/>
      <c r="BE101" s="121"/>
      <c r="BF101" s="121"/>
      <c r="BG101" s="121"/>
      <c r="BH101" s="121"/>
      <c r="BI101" s="121"/>
      <c r="BJ101" s="121"/>
      <c r="BK101" s="121"/>
      <c r="BL101" s="121"/>
      <c r="BM101" s="121"/>
      <c r="BN101" s="121"/>
      <c r="BO101" s="121"/>
      <c r="BP101" s="121"/>
      <c r="BQ101" s="121"/>
    </row>
    <row r="102" spans="1:69">
      <c r="A102" s="115"/>
      <c r="B102" s="121"/>
      <c r="C102" s="121"/>
      <c r="D102" s="121"/>
      <c r="E102" s="121"/>
      <c r="F102" s="121"/>
      <c r="G102" s="121"/>
      <c r="H102" s="121"/>
      <c r="I102" s="121"/>
      <c r="J102" s="121"/>
      <c r="K102" s="121"/>
      <c r="L102" s="121"/>
      <c r="M102" s="121"/>
      <c r="N102" s="121"/>
      <c r="O102" s="121"/>
      <c r="P102" s="121"/>
      <c r="Q102" s="121"/>
      <c r="R102" s="120"/>
      <c r="S102" s="121"/>
      <c r="T102" s="121"/>
      <c r="U102" s="121"/>
      <c r="V102" s="121"/>
      <c r="W102" s="121"/>
      <c r="X102" s="121"/>
      <c r="Y102" s="121"/>
      <c r="Z102" s="121"/>
      <c r="AA102" s="121"/>
      <c r="AB102" s="64"/>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64"/>
      <c r="BD102" s="121"/>
      <c r="BE102" s="121"/>
      <c r="BF102" s="121"/>
      <c r="BG102" s="121"/>
      <c r="BH102" s="121"/>
      <c r="BI102" s="121"/>
      <c r="BJ102" s="121"/>
      <c r="BK102" s="121"/>
      <c r="BL102" s="121"/>
      <c r="BM102" s="121"/>
      <c r="BN102" s="121"/>
      <c r="BO102" s="121"/>
      <c r="BP102" s="121"/>
      <c r="BQ102" s="121"/>
    </row>
    <row r="103" spans="1:69">
      <c r="A103" s="115"/>
      <c r="B103" s="121"/>
      <c r="C103" s="121"/>
      <c r="D103" s="121"/>
      <c r="E103" s="121"/>
      <c r="F103" s="121"/>
      <c r="G103" s="121"/>
      <c r="H103" s="121"/>
      <c r="I103" s="121"/>
      <c r="J103" s="121"/>
      <c r="K103" s="121"/>
      <c r="L103" s="121"/>
      <c r="M103" s="121"/>
      <c r="N103" s="121"/>
      <c r="O103" s="121"/>
      <c r="P103" s="121"/>
      <c r="Q103" s="121"/>
      <c r="R103" s="120"/>
      <c r="S103" s="121"/>
      <c r="T103" s="121"/>
      <c r="U103" s="121"/>
      <c r="V103" s="121"/>
      <c r="W103" s="121"/>
      <c r="X103" s="121"/>
      <c r="Y103" s="121"/>
      <c r="Z103" s="121"/>
      <c r="AA103" s="121"/>
      <c r="AB103" s="64"/>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64"/>
      <c r="BD103" s="121"/>
      <c r="BE103" s="121"/>
      <c r="BF103" s="121"/>
      <c r="BG103" s="121"/>
      <c r="BH103" s="121"/>
      <c r="BI103" s="121"/>
      <c r="BJ103" s="121"/>
      <c r="BK103" s="121"/>
      <c r="BL103" s="121"/>
      <c r="BM103" s="121"/>
      <c r="BN103" s="121"/>
      <c r="BO103" s="121"/>
      <c r="BP103" s="121"/>
      <c r="BQ103" s="121"/>
    </row>
    <row r="104" spans="1:69">
      <c r="A104" s="115"/>
      <c r="B104" s="121"/>
      <c r="C104" s="121"/>
      <c r="D104" s="121"/>
      <c r="E104" s="121"/>
      <c r="F104" s="121"/>
      <c r="G104" s="121"/>
      <c r="H104" s="121"/>
      <c r="I104" s="121"/>
      <c r="J104" s="121"/>
      <c r="K104" s="121"/>
      <c r="L104" s="121"/>
      <c r="M104" s="121"/>
      <c r="N104" s="121"/>
      <c r="O104" s="121"/>
      <c r="P104" s="121"/>
      <c r="Q104" s="121"/>
      <c r="R104" s="120"/>
      <c r="S104" s="121"/>
      <c r="T104" s="121"/>
      <c r="U104" s="121"/>
      <c r="V104" s="121"/>
      <c r="W104" s="121"/>
      <c r="X104" s="121"/>
      <c r="Y104" s="121"/>
      <c r="Z104" s="121"/>
      <c r="AA104" s="121"/>
      <c r="AB104" s="64"/>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64"/>
      <c r="BD104" s="121"/>
      <c r="BE104" s="121"/>
      <c r="BF104" s="121"/>
      <c r="BG104" s="121"/>
      <c r="BH104" s="121"/>
      <c r="BI104" s="121"/>
      <c r="BJ104" s="121"/>
      <c r="BK104" s="121"/>
      <c r="BL104" s="121"/>
      <c r="BM104" s="121"/>
      <c r="BN104" s="121"/>
      <c r="BO104" s="121"/>
      <c r="BP104" s="121"/>
      <c r="BQ104" s="121"/>
    </row>
    <row r="105" spans="1:69">
      <c r="A105" s="115"/>
      <c r="B105" s="121"/>
      <c r="C105" s="121"/>
      <c r="D105" s="121"/>
      <c r="E105" s="121"/>
      <c r="F105" s="121"/>
      <c r="G105" s="121"/>
      <c r="H105" s="121"/>
      <c r="I105" s="121"/>
      <c r="J105" s="121"/>
      <c r="K105" s="121"/>
      <c r="L105" s="121"/>
      <c r="M105" s="121"/>
      <c r="N105" s="121"/>
      <c r="O105" s="121"/>
      <c r="P105" s="121"/>
      <c r="Q105" s="121"/>
      <c r="R105" s="120"/>
      <c r="S105" s="121"/>
      <c r="T105" s="121"/>
      <c r="U105" s="121"/>
      <c r="V105" s="121"/>
      <c r="W105" s="121"/>
      <c r="X105" s="121"/>
      <c r="Y105" s="121"/>
      <c r="Z105" s="121"/>
      <c r="AA105" s="121"/>
      <c r="AB105" s="64"/>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64"/>
      <c r="BD105" s="121"/>
      <c r="BE105" s="121"/>
      <c r="BF105" s="121"/>
      <c r="BG105" s="121"/>
      <c r="BH105" s="121"/>
      <c r="BI105" s="121"/>
      <c r="BJ105" s="121"/>
      <c r="BK105" s="121"/>
      <c r="BL105" s="121"/>
      <c r="BM105" s="121"/>
      <c r="BN105" s="121"/>
      <c r="BO105" s="121"/>
      <c r="BP105" s="121"/>
      <c r="BQ105" s="121"/>
    </row>
    <row r="106" spans="1:69">
      <c r="A106" s="115"/>
      <c r="B106" s="121"/>
      <c r="C106" s="121"/>
      <c r="D106" s="121"/>
      <c r="E106" s="121"/>
      <c r="F106" s="121"/>
      <c r="G106" s="121"/>
      <c r="H106" s="121"/>
      <c r="I106" s="121"/>
      <c r="J106" s="121"/>
      <c r="K106" s="121"/>
      <c r="L106" s="121"/>
      <c r="M106" s="121"/>
      <c r="N106" s="121"/>
      <c r="O106" s="121"/>
      <c r="P106" s="121"/>
      <c r="Q106" s="121"/>
      <c r="R106" s="120"/>
      <c r="S106" s="121"/>
      <c r="T106" s="121"/>
      <c r="U106" s="121"/>
      <c r="V106" s="121"/>
      <c r="W106" s="121"/>
      <c r="X106" s="121"/>
      <c r="Y106" s="121"/>
      <c r="Z106" s="121"/>
      <c r="AA106" s="121"/>
      <c r="AB106" s="64"/>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64"/>
      <c r="BD106" s="121"/>
      <c r="BE106" s="121"/>
      <c r="BF106" s="121"/>
      <c r="BG106" s="121"/>
      <c r="BH106" s="121"/>
      <c r="BI106" s="121"/>
      <c r="BJ106" s="121"/>
      <c r="BK106" s="121"/>
      <c r="BL106" s="121"/>
      <c r="BM106" s="121"/>
      <c r="BN106" s="121"/>
      <c r="BO106" s="121"/>
      <c r="BP106" s="121"/>
      <c r="BQ106" s="121"/>
    </row>
    <row r="107" spans="1:69">
      <c r="A107" s="115"/>
      <c r="B107" s="121"/>
      <c r="C107" s="121"/>
      <c r="D107" s="121"/>
      <c r="E107" s="121"/>
      <c r="F107" s="121"/>
      <c r="G107" s="121"/>
      <c r="H107" s="121"/>
      <c r="I107" s="121"/>
      <c r="J107" s="121"/>
      <c r="K107" s="121"/>
      <c r="L107" s="121"/>
      <c r="M107" s="121"/>
      <c r="N107" s="121"/>
      <c r="O107" s="121"/>
      <c r="P107" s="121"/>
      <c r="Q107" s="121"/>
      <c r="R107" s="120"/>
      <c r="S107" s="121"/>
      <c r="T107" s="121"/>
      <c r="U107" s="121"/>
      <c r="V107" s="121"/>
      <c r="W107" s="121"/>
      <c r="X107" s="121"/>
      <c r="Y107" s="121"/>
      <c r="Z107" s="121"/>
      <c r="AA107" s="121"/>
      <c r="AB107" s="64"/>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64"/>
      <c r="BD107" s="121"/>
      <c r="BE107" s="121"/>
      <c r="BF107" s="121"/>
      <c r="BG107" s="121"/>
      <c r="BH107" s="121"/>
      <c r="BI107" s="121"/>
      <c r="BJ107" s="121"/>
      <c r="BK107" s="121"/>
      <c r="BL107" s="121"/>
      <c r="BM107" s="121"/>
      <c r="BN107" s="121"/>
      <c r="BO107" s="121"/>
      <c r="BP107" s="121"/>
      <c r="BQ107" s="121"/>
    </row>
    <row r="108" spans="1:69">
      <c r="A108" s="115"/>
      <c r="B108" s="121"/>
      <c r="C108" s="121"/>
      <c r="D108" s="121"/>
      <c r="E108" s="121"/>
      <c r="F108" s="121"/>
      <c r="G108" s="121"/>
      <c r="H108" s="121"/>
      <c r="I108" s="121"/>
      <c r="J108" s="121"/>
      <c r="K108" s="121"/>
      <c r="L108" s="121"/>
      <c r="M108" s="121"/>
      <c r="N108" s="121"/>
      <c r="O108" s="121"/>
      <c r="P108" s="121"/>
      <c r="Q108" s="121"/>
      <c r="R108" s="120"/>
      <c r="S108" s="121"/>
      <c r="T108" s="121"/>
      <c r="U108" s="121"/>
      <c r="V108" s="121"/>
      <c r="W108" s="121"/>
      <c r="X108" s="121"/>
      <c r="Y108" s="121"/>
      <c r="Z108" s="121"/>
      <c r="AA108" s="121"/>
      <c r="AB108" s="64"/>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64"/>
      <c r="BD108" s="121"/>
      <c r="BE108" s="121"/>
      <c r="BF108" s="121"/>
      <c r="BG108" s="121"/>
      <c r="BH108" s="121"/>
      <c r="BI108" s="121"/>
      <c r="BJ108" s="121"/>
      <c r="BK108" s="121"/>
      <c r="BL108" s="121"/>
      <c r="BM108" s="121"/>
      <c r="BN108" s="121"/>
      <c r="BO108" s="121"/>
      <c r="BP108" s="121"/>
      <c r="BQ108" s="121"/>
    </row>
    <row r="109" spans="1:69">
      <c r="A109" s="115"/>
      <c r="B109" s="121"/>
      <c r="C109" s="121"/>
      <c r="D109" s="121"/>
      <c r="E109" s="121"/>
      <c r="F109" s="121"/>
      <c r="G109" s="121"/>
      <c r="H109" s="121"/>
      <c r="I109" s="121"/>
      <c r="J109" s="121"/>
      <c r="K109" s="121"/>
      <c r="L109" s="121"/>
      <c r="M109" s="121"/>
      <c r="N109" s="121"/>
      <c r="O109" s="121"/>
      <c r="P109" s="121"/>
      <c r="Q109" s="121"/>
      <c r="R109" s="120"/>
      <c r="S109" s="121"/>
      <c r="T109" s="121"/>
      <c r="U109" s="121"/>
      <c r="V109" s="121"/>
      <c r="W109" s="121"/>
      <c r="X109" s="121"/>
      <c r="Y109" s="121"/>
      <c r="Z109" s="121"/>
      <c r="AA109" s="121"/>
      <c r="AB109" s="64"/>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64"/>
      <c r="BD109" s="121"/>
      <c r="BE109" s="121"/>
      <c r="BF109" s="121"/>
      <c r="BG109" s="121"/>
      <c r="BH109" s="121"/>
      <c r="BI109" s="121"/>
      <c r="BJ109" s="121"/>
      <c r="BK109" s="121"/>
      <c r="BL109" s="121"/>
      <c r="BM109" s="121"/>
      <c r="BN109" s="121"/>
      <c r="BO109" s="121"/>
      <c r="BP109" s="121"/>
      <c r="BQ109" s="121"/>
    </row>
    <row r="110" spans="1:69">
      <c r="A110" s="115"/>
      <c r="B110" s="121"/>
      <c r="C110" s="121"/>
      <c r="D110" s="121"/>
      <c r="E110" s="121"/>
      <c r="F110" s="121"/>
      <c r="G110" s="121"/>
      <c r="H110" s="121"/>
      <c r="I110" s="121"/>
      <c r="J110" s="121"/>
      <c r="K110" s="121"/>
      <c r="L110" s="121"/>
      <c r="M110" s="121"/>
      <c r="N110" s="121"/>
      <c r="O110" s="121"/>
      <c r="P110" s="121"/>
      <c r="Q110" s="121"/>
      <c r="R110" s="120"/>
      <c r="S110" s="121"/>
      <c r="T110" s="121"/>
      <c r="U110" s="121"/>
      <c r="V110" s="121"/>
      <c r="W110" s="121"/>
      <c r="X110" s="121"/>
      <c r="Y110" s="121"/>
      <c r="Z110" s="121"/>
      <c r="AA110" s="121"/>
      <c r="AB110" s="64"/>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64"/>
      <c r="BD110" s="121"/>
      <c r="BE110" s="121"/>
      <c r="BF110" s="121"/>
      <c r="BG110" s="121"/>
      <c r="BH110" s="121"/>
      <c r="BI110" s="121"/>
      <c r="BJ110" s="121"/>
      <c r="BK110" s="121"/>
      <c r="BL110" s="121"/>
      <c r="BM110" s="121"/>
      <c r="BN110" s="121"/>
      <c r="BO110" s="121"/>
      <c r="BP110" s="121"/>
      <c r="BQ110" s="121"/>
    </row>
    <row r="111" spans="1:69">
      <c r="A111" s="115"/>
      <c r="B111" s="121"/>
      <c r="C111" s="121"/>
      <c r="D111" s="121"/>
      <c r="E111" s="121"/>
      <c r="F111" s="121"/>
      <c r="G111" s="121"/>
      <c r="H111" s="121"/>
      <c r="I111" s="121"/>
      <c r="J111" s="121"/>
      <c r="K111" s="121"/>
      <c r="L111" s="121"/>
      <c r="M111" s="121"/>
      <c r="N111" s="121"/>
      <c r="O111" s="121"/>
      <c r="P111" s="121"/>
      <c r="Q111" s="121"/>
      <c r="R111" s="120"/>
      <c r="S111" s="121"/>
      <c r="T111" s="121"/>
      <c r="U111" s="121"/>
      <c r="V111" s="121"/>
      <c r="W111" s="121"/>
      <c r="X111" s="121"/>
      <c r="Y111" s="121"/>
      <c r="Z111" s="121"/>
      <c r="AA111" s="121"/>
      <c r="AB111" s="64"/>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64"/>
      <c r="BD111" s="121"/>
      <c r="BE111" s="121"/>
      <c r="BF111" s="121"/>
      <c r="BG111" s="121"/>
      <c r="BH111" s="121"/>
      <c r="BI111" s="121"/>
      <c r="BJ111" s="121"/>
      <c r="BK111" s="121"/>
      <c r="BL111" s="121"/>
      <c r="BM111" s="121"/>
      <c r="BN111" s="121"/>
      <c r="BO111" s="121"/>
      <c r="BP111" s="121"/>
      <c r="BQ111" s="121"/>
    </row>
    <row r="112" spans="1:69">
      <c r="A112" s="115"/>
      <c r="B112" s="121"/>
      <c r="C112" s="121"/>
      <c r="D112" s="121"/>
      <c r="E112" s="121"/>
      <c r="F112" s="121"/>
      <c r="G112" s="121"/>
      <c r="H112" s="121"/>
      <c r="I112" s="121"/>
      <c r="J112" s="121"/>
      <c r="K112" s="121"/>
      <c r="L112" s="121"/>
      <c r="M112" s="121"/>
      <c r="N112" s="121"/>
      <c r="O112" s="121"/>
      <c r="P112" s="121"/>
      <c r="Q112" s="121"/>
      <c r="R112" s="120"/>
      <c r="S112" s="121"/>
      <c r="T112" s="121"/>
      <c r="U112" s="121"/>
      <c r="V112" s="121"/>
      <c r="W112" s="121"/>
      <c r="X112" s="121"/>
      <c r="Y112" s="121"/>
      <c r="Z112" s="121"/>
      <c r="AA112" s="121"/>
      <c r="AB112" s="64"/>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64"/>
      <c r="BD112" s="121"/>
      <c r="BE112" s="121"/>
      <c r="BF112" s="121"/>
      <c r="BG112" s="121"/>
      <c r="BH112" s="121"/>
      <c r="BI112" s="121"/>
      <c r="BJ112" s="121"/>
      <c r="BK112" s="121"/>
      <c r="BL112" s="121"/>
      <c r="BM112" s="121"/>
      <c r="BN112" s="121"/>
      <c r="BO112" s="121"/>
      <c r="BP112" s="121"/>
      <c r="BQ112" s="121"/>
    </row>
    <row r="113" spans="1:69">
      <c r="A113" s="115"/>
      <c r="B113" s="121"/>
      <c r="C113" s="121"/>
      <c r="D113" s="121"/>
      <c r="E113" s="121"/>
      <c r="F113" s="121"/>
      <c r="G113" s="121"/>
      <c r="H113" s="121"/>
      <c r="I113" s="121"/>
      <c r="J113" s="121"/>
      <c r="K113" s="121"/>
      <c r="L113" s="121"/>
      <c r="M113" s="121"/>
      <c r="N113" s="121"/>
      <c r="O113" s="121"/>
      <c r="P113" s="121"/>
      <c r="Q113" s="121"/>
      <c r="R113" s="120"/>
      <c r="S113" s="121"/>
      <c r="T113" s="121"/>
      <c r="U113" s="121"/>
      <c r="V113" s="121"/>
      <c r="W113" s="121"/>
      <c r="X113" s="121"/>
      <c r="Y113" s="121"/>
      <c r="Z113" s="121"/>
      <c r="AA113" s="121"/>
      <c r="AB113" s="64"/>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64"/>
      <c r="BD113" s="121"/>
      <c r="BE113" s="121"/>
      <c r="BF113" s="121"/>
      <c r="BG113" s="121"/>
      <c r="BH113" s="121"/>
      <c r="BI113" s="121"/>
      <c r="BJ113" s="121"/>
      <c r="BK113" s="121"/>
      <c r="BL113" s="121"/>
      <c r="BM113" s="121"/>
      <c r="BN113" s="121"/>
      <c r="BO113" s="121"/>
      <c r="BP113" s="121"/>
      <c r="BQ113" s="121"/>
    </row>
    <row r="114" spans="1:69">
      <c r="A114" s="115"/>
      <c r="B114" s="121"/>
      <c r="C114" s="121"/>
      <c r="D114" s="121"/>
      <c r="E114" s="121"/>
      <c r="F114" s="121"/>
      <c r="G114" s="121"/>
      <c r="H114" s="121"/>
      <c r="I114" s="121"/>
      <c r="J114" s="121"/>
      <c r="K114" s="121"/>
      <c r="L114" s="121"/>
      <c r="M114" s="121"/>
      <c r="N114" s="121"/>
      <c r="O114" s="121"/>
      <c r="P114" s="121"/>
      <c r="Q114" s="121"/>
      <c r="R114" s="120"/>
      <c r="S114" s="121"/>
      <c r="T114" s="121"/>
      <c r="U114" s="121"/>
      <c r="V114" s="121"/>
      <c r="W114" s="121"/>
      <c r="X114" s="121"/>
      <c r="Y114" s="121"/>
      <c r="Z114" s="121"/>
      <c r="AA114" s="121"/>
      <c r="AB114" s="64"/>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64"/>
      <c r="BD114" s="121"/>
      <c r="BE114" s="121"/>
      <c r="BF114" s="121"/>
      <c r="BG114" s="121"/>
      <c r="BH114" s="121"/>
      <c r="BI114" s="121"/>
      <c r="BJ114" s="121"/>
      <c r="BK114" s="121"/>
      <c r="BL114" s="121"/>
      <c r="BM114" s="121"/>
      <c r="BN114" s="121"/>
      <c r="BO114" s="121"/>
      <c r="BP114" s="121"/>
      <c r="BQ114" s="121"/>
    </row>
    <row r="115" spans="1:69">
      <c r="A115" s="115"/>
      <c r="B115" s="121"/>
      <c r="C115" s="121"/>
      <c r="D115" s="121"/>
      <c r="E115" s="121"/>
      <c r="F115" s="121"/>
      <c r="G115" s="121"/>
      <c r="H115" s="121"/>
      <c r="I115" s="121"/>
      <c r="J115" s="121"/>
      <c r="K115" s="121"/>
      <c r="L115" s="121"/>
      <c r="M115" s="121"/>
      <c r="N115" s="121"/>
      <c r="O115" s="121"/>
      <c r="P115" s="121"/>
      <c r="Q115" s="121"/>
      <c r="R115" s="120"/>
      <c r="S115" s="121"/>
      <c r="T115" s="121"/>
      <c r="U115" s="121"/>
      <c r="V115" s="121"/>
      <c r="W115" s="121"/>
      <c r="X115" s="121"/>
      <c r="Y115" s="121"/>
      <c r="Z115" s="121"/>
      <c r="AA115" s="121"/>
      <c r="AB115" s="64"/>
      <c r="AC115" s="121"/>
      <c r="AD115" s="121"/>
      <c r="AE115" s="121"/>
      <c r="AF115" s="121"/>
      <c r="AG115" s="121"/>
      <c r="AH115" s="121"/>
      <c r="AI115" s="121"/>
      <c r="AJ115" s="121"/>
      <c r="AK115" s="121"/>
      <c r="AL115" s="121"/>
      <c r="AM115" s="121"/>
      <c r="AN115" s="121"/>
      <c r="AO115" s="121"/>
      <c r="AP115" s="121"/>
      <c r="AQ115" s="121"/>
      <c r="AR115" s="121"/>
      <c r="AS115" s="121"/>
      <c r="AT115" s="121"/>
      <c r="AU115" s="121"/>
      <c r="AV115" s="121"/>
      <c r="AW115" s="121"/>
      <c r="AX115" s="121"/>
      <c r="AY115" s="121"/>
      <c r="AZ115" s="121"/>
      <c r="BA115" s="121"/>
      <c r="BB115" s="121"/>
      <c r="BC115" s="64"/>
      <c r="BD115" s="121"/>
      <c r="BE115" s="121"/>
      <c r="BF115" s="121"/>
      <c r="BG115" s="121"/>
      <c r="BH115" s="121"/>
      <c r="BI115" s="121"/>
      <c r="BJ115" s="121"/>
      <c r="BK115" s="121"/>
      <c r="BL115" s="121"/>
      <c r="BM115" s="121"/>
      <c r="BN115" s="121"/>
      <c r="BO115" s="121"/>
      <c r="BP115" s="121"/>
      <c r="BQ115" s="121"/>
    </row>
    <row r="116" spans="1:69">
      <c r="A116" s="115"/>
      <c r="B116" s="121"/>
      <c r="C116" s="121"/>
      <c r="D116" s="121"/>
      <c r="E116" s="121"/>
      <c r="F116" s="121"/>
      <c r="G116" s="121"/>
      <c r="H116" s="121"/>
      <c r="I116" s="121"/>
      <c r="J116" s="121"/>
      <c r="K116" s="121"/>
      <c r="L116" s="121"/>
      <c r="M116" s="121"/>
      <c r="N116" s="121"/>
      <c r="O116" s="121"/>
      <c r="P116" s="121"/>
      <c r="Q116" s="121"/>
      <c r="R116" s="120"/>
      <c r="S116" s="121"/>
      <c r="T116" s="121"/>
      <c r="U116" s="121"/>
      <c r="V116" s="121"/>
      <c r="W116" s="121"/>
      <c r="X116" s="121"/>
      <c r="Y116" s="121"/>
      <c r="Z116" s="121"/>
      <c r="AA116" s="121"/>
      <c r="AB116" s="64"/>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64"/>
      <c r="BD116" s="121"/>
      <c r="BE116" s="121"/>
      <c r="BF116" s="121"/>
      <c r="BG116" s="121"/>
      <c r="BH116" s="121"/>
      <c r="BI116" s="121"/>
      <c r="BJ116" s="121"/>
      <c r="BK116" s="121"/>
      <c r="BL116" s="121"/>
      <c r="BM116" s="121"/>
      <c r="BN116" s="121"/>
      <c r="BO116" s="121"/>
      <c r="BP116" s="121"/>
      <c r="BQ116" s="121"/>
    </row>
    <row r="117" spans="1:69">
      <c r="A117" s="115"/>
      <c r="B117" s="121"/>
      <c r="C117" s="121"/>
      <c r="D117" s="121"/>
      <c r="E117" s="121"/>
      <c r="F117" s="121"/>
      <c r="G117" s="121"/>
      <c r="H117" s="121"/>
      <c r="I117" s="121"/>
      <c r="J117" s="121"/>
      <c r="K117" s="121"/>
      <c r="L117" s="121"/>
      <c r="M117" s="121"/>
      <c r="N117" s="121"/>
      <c r="O117" s="121"/>
      <c r="P117" s="121"/>
      <c r="Q117" s="121"/>
      <c r="R117" s="120"/>
      <c r="S117" s="121"/>
      <c r="T117" s="121"/>
      <c r="U117" s="121"/>
      <c r="V117" s="121"/>
      <c r="W117" s="121"/>
      <c r="X117" s="121"/>
      <c r="Y117" s="121"/>
      <c r="Z117" s="121"/>
      <c r="AA117" s="121"/>
      <c r="AB117" s="64"/>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64"/>
      <c r="BD117" s="121"/>
      <c r="BE117" s="121"/>
      <c r="BF117" s="121"/>
      <c r="BG117" s="121"/>
      <c r="BH117" s="121"/>
      <c r="BI117" s="121"/>
      <c r="BJ117" s="121"/>
      <c r="BK117" s="121"/>
      <c r="BL117" s="121"/>
      <c r="BM117" s="121"/>
      <c r="BN117" s="121"/>
      <c r="BO117" s="121"/>
      <c r="BP117" s="121"/>
      <c r="BQ117" s="121"/>
    </row>
  </sheetData>
  <sheetProtection algorithmName="SHA-512" hashValue="JfjpxSxsNoDnFQc1/WD3lv+arjFqsuiWdFGvcOntXs+CQgWYLB9pIVES9TFFISCu5mVXGi9xJWLnbuoZ43lFNw==" saltValue="AzxI5E16LWOTy7GSuYkm3A==" spinCount="100000" sheet="1" objects="1" scenarios="1"/>
  <mergeCells count="1">
    <mergeCell ref="S26:S27"/>
  </mergeCells>
  <hyperlinks>
    <hyperlink ref="F1" location="Guide" display="Guide" xr:uid="{00000000-0004-0000-1400-000000000000}"/>
    <hyperlink ref="F2" location="Input" display="Input" xr:uid="{00000000-0004-0000-1400-000001000000}"/>
  </hyperlinks>
  <pageMargins left="0.7" right="0.7" top="0.75" bottom="0.75" header="0.3" footer="0.3"/>
  <pageSetup paperSize="9" scale="31" orientation="portrait" r:id="rId1"/>
  <headerFooter>
    <oddFooter>&amp;LNova Scotia Exploration Economics Model&amp;Rwww.indeva.com</oddFooter>
  </headerFooter>
  <colBreaks count="1" manualBreakCount="1">
    <brk id="18" max="69" man="1"/>
  </colBreaks>
  <extLst>
    <ext xmlns:x14="http://schemas.microsoft.com/office/spreadsheetml/2009/9/main" uri="{78C0D931-6437-407d-A8EE-F0AAD7539E65}">
      <x14:conditionalFormattings>
        <x14:conditionalFormatting xmlns:xm="http://schemas.microsoft.com/office/excel/2006/main">
          <x14:cfRule type="expression" priority="1" id="{0B85E474-5E4C-4F5F-9FF1-9D8C7CCF6885}">
            <xm:f>'Devel Overrides'!$C$17=Lists!$A$37</xm:f>
            <x14:dxf>
              <font>
                <color theme="2"/>
              </font>
            </x14:dxf>
          </x14:cfRule>
          <xm:sqref>T29:V29 T31:V70 T89</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1">
    <tabColor theme="3" tint="0.79998168889431442"/>
  </sheetPr>
  <dimension ref="A1:AG50"/>
  <sheetViews>
    <sheetView showGridLines="0" showRowColHeaders="0" showZeros="0" zoomScale="75" zoomScaleNormal="75" workbookViewId="0">
      <pane xSplit="1" ySplit="10" topLeftCell="B11" activePane="bottomRight" state="frozen"/>
      <selection activeCell="D43" sqref="D43"/>
      <selection pane="topRight" activeCell="D43" sqref="D43"/>
      <selection pane="bottomLeft" activeCell="D43" sqref="D43"/>
      <selection pane="bottomRight"/>
    </sheetView>
  </sheetViews>
  <sheetFormatPr defaultRowHeight="15"/>
  <cols>
    <col min="2" max="2" width="13.85546875" customWidth="1"/>
    <col min="3" max="3" width="12" customWidth="1"/>
    <col min="4" max="4" width="12.5703125" customWidth="1"/>
    <col min="5" max="5" width="15.28515625" customWidth="1"/>
    <col min="6" max="6" width="14.42578125" customWidth="1"/>
    <col min="7" max="7" width="12.140625" hidden="1" customWidth="1"/>
    <col min="8" max="11" width="14.7109375" customWidth="1"/>
    <col min="12" max="12" width="11.5703125" customWidth="1"/>
    <col min="14" max="14" width="10.85546875" customWidth="1"/>
    <col min="15" max="16" width="12" customWidth="1"/>
    <col min="17" max="17" width="10.28515625" customWidth="1"/>
    <col min="19" max="19" width="11.85546875" customWidth="1"/>
    <col min="20" max="21" width="12" customWidth="1"/>
    <col min="22" max="22" width="10.85546875" customWidth="1"/>
    <col min="24" max="24" width="11" customWidth="1"/>
  </cols>
  <sheetData>
    <row r="1" spans="1:33" ht="18.75">
      <c r="A1" s="169"/>
      <c r="B1" s="153" t="str">
        <f>Input!B10</f>
        <v>Prospect X</v>
      </c>
      <c r="C1" s="153" t="s">
        <v>335</v>
      </c>
      <c r="D1" s="154"/>
      <c r="E1" s="154"/>
      <c r="F1" s="93" t="s">
        <v>756</v>
      </c>
      <c r="G1" s="154"/>
      <c r="H1" s="154"/>
      <c r="I1" s="154"/>
      <c r="J1" s="154"/>
      <c r="K1" s="154"/>
      <c r="L1" s="154"/>
      <c r="M1" s="154"/>
      <c r="N1" s="154"/>
      <c r="O1" s="154"/>
      <c r="P1" s="154"/>
      <c r="Q1" s="154"/>
      <c r="R1" s="154"/>
      <c r="S1" s="154"/>
      <c r="T1" s="154"/>
      <c r="U1" s="154"/>
      <c r="V1" s="154"/>
      <c r="W1" s="154"/>
      <c r="X1" s="154"/>
      <c r="Y1" s="154"/>
      <c r="Z1" s="154"/>
      <c r="AA1" s="154"/>
      <c r="AB1" s="154"/>
      <c r="AC1" s="154"/>
      <c r="AD1" s="154"/>
      <c r="AE1" s="154"/>
      <c r="AF1" s="154"/>
      <c r="AG1" s="155"/>
    </row>
    <row r="2" spans="1:33" ht="18.75">
      <c r="A2" s="156"/>
      <c r="B2" s="117"/>
      <c r="C2" s="117"/>
      <c r="D2" s="117"/>
      <c r="E2" s="117"/>
      <c r="F2" s="93" t="s">
        <v>139</v>
      </c>
      <c r="G2" s="117"/>
      <c r="H2" s="117"/>
      <c r="I2" s="117"/>
      <c r="J2" s="117"/>
      <c r="K2" s="117"/>
      <c r="L2" s="117"/>
      <c r="M2" s="117"/>
      <c r="N2" s="117"/>
      <c r="O2" s="117"/>
      <c r="P2" s="117"/>
      <c r="Q2" s="117"/>
      <c r="R2" s="117"/>
      <c r="S2" s="117"/>
      <c r="T2" s="117"/>
      <c r="U2" s="117"/>
      <c r="V2" s="117"/>
      <c r="W2" s="117"/>
      <c r="X2" s="117"/>
      <c r="Y2" s="117"/>
      <c r="Z2" s="117"/>
      <c r="AA2" s="117"/>
      <c r="AB2" s="117"/>
      <c r="AC2" s="117"/>
      <c r="AD2" s="117"/>
      <c r="AE2" s="117"/>
      <c r="AF2" s="117"/>
      <c r="AG2" s="157"/>
    </row>
    <row r="3" spans="1:33" ht="15.75">
      <c r="A3" s="64"/>
      <c r="B3" s="170" t="s">
        <v>336</v>
      </c>
      <c r="C3" s="64"/>
      <c r="D3" s="64"/>
      <c r="E3" s="64"/>
      <c r="F3" s="64"/>
      <c r="G3" s="64"/>
      <c r="H3" s="64"/>
      <c r="I3" s="64"/>
      <c r="J3" s="64"/>
      <c r="K3" s="64"/>
      <c r="L3" s="64"/>
      <c r="M3" s="64"/>
      <c r="N3" s="84" t="s">
        <v>337</v>
      </c>
      <c r="O3" s="64"/>
      <c r="P3" s="64"/>
      <c r="Q3" s="64"/>
      <c r="R3" s="64"/>
      <c r="S3" s="170" t="s">
        <v>338</v>
      </c>
      <c r="T3" s="64"/>
      <c r="U3" s="64"/>
      <c r="V3" s="64"/>
      <c r="W3" s="64"/>
      <c r="X3" s="84" t="s">
        <v>339</v>
      </c>
      <c r="Y3" s="64"/>
      <c r="Z3" s="64"/>
      <c r="AA3" s="64"/>
      <c r="AB3" s="64"/>
      <c r="AC3" s="64"/>
      <c r="AD3" s="64"/>
      <c r="AE3" s="64"/>
      <c r="AF3" s="64"/>
      <c r="AG3" s="64"/>
    </row>
    <row r="4" spans="1:33">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row>
    <row r="5" spans="1:33">
      <c r="A5" s="89" t="s">
        <v>14</v>
      </c>
      <c r="B5" s="89" t="s">
        <v>329</v>
      </c>
      <c r="C5" s="89" t="s">
        <v>117</v>
      </c>
      <c r="D5" s="89" t="s">
        <v>127</v>
      </c>
      <c r="E5" s="89" t="s">
        <v>635</v>
      </c>
      <c r="F5" s="89" t="s">
        <v>635</v>
      </c>
      <c r="G5" s="89" t="s">
        <v>331</v>
      </c>
      <c r="H5" s="89" t="s">
        <v>635</v>
      </c>
      <c r="I5" s="89" t="s">
        <v>929</v>
      </c>
      <c r="J5" s="89" t="s">
        <v>929</v>
      </c>
      <c r="K5" s="89" t="s">
        <v>929</v>
      </c>
      <c r="L5" s="89" t="s">
        <v>13</v>
      </c>
      <c r="M5" s="64"/>
      <c r="N5" s="89" t="s">
        <v>340</v>
      </c>
      <c r="O5" s="89" t="s">
        <v>635</v>
      </c>
      <c r="P5" s="89" t="s">
        <v>929</v>
      </c>
      <c r="Q5" s="89" t="s">
        <v>13</v>
      </c>
      <c r="R5" s="64"/>
      <c r="S5" s="89" t="s">
        <v>340</v>
      </c>
      <c r="T5" s="89" t="s">
        <v>635</v>
      </c>
      <c r="U5" s="89" t="s">
        <v>929</v>
      </c>
      <c r="V5" s="89" t="s">
        <v>13</v>
      </c>
      <c r="W5" s="64"/>
      <c r="X5" s="89" t="s">
        <v>13</v>
      </c>
      <c r="Y5" s="64"/>
      <c r="Z5" s="64"/>
      <c r="AA5" s="64"/>
      <c r="AB5" s="64"/>
      <c r="AC5" s="64"/>
      <c r="AD5" s="64"/>
      <c r="AE5" s="64"/>
      <c r="AF5" s="64"/>
      <c r="AG5" s="64"/>
    </row>
    <row r="6" spans="1:33">
      <c r="A6" s="90"/>
      <c r="B6" s="90" t="s">
        <v>341</v>
      </c>
      <c r="C6" s="90"/>
      <c r="D6" s="90"/>
      <c r="E6" s="90" t="s">
        <v>341</v>
      </c>
      <c r="F6" s="90" t="s">
        <v>342</v>
      </c>
      <c r="G6" s="90"/>
      <c r="H6" s="90" t="s">
        <v>15</v>
      </c>
      <c r="I6" s="90" t="s">
        <v>341</v>
      </c>
      <c r="J6" s="90" t="s">
        <v>342</v>
      </c>
      <c r="K6" s="90" t="s">
        <v>15</v>
      </c>
      <c r="L6" s="90" t="s">
        <v>15</v>
      </c>
      <c r="M6" s="64"/>
      <c r="N6" s="90" t="s">
        <v>15</v>
      </c>
      <c r="O6" s="90" t="s">
        <v>15</v>
      </c>
      <c r="P6" s="90" t="s">
        <v>15</v>
      </c>
      <c r="Q6" s="90" t="s">
        <v>15</v>
      </c>
      <c r="R6" s="64"/>
      <c r="S6" s="90" t="s">
        <v>15</v>
      </c>
      <c r="T6" s="90" t="s">
        <v>15</v>
      </c>
      <c r="U6" s="90" t="s">
        <v>15</v>
      </c>
      <c r="V6" s="90" t="s">
        <v>15</v>
      </c>
      <c r="W6" s="64"/>
      <c r="X6" s="90" t="s">
        <v>15</v>
      </c>
      <c r="Y6" s="64"/>
      <c r="Z6" s="64"/>
      <c r="AA6" s="64"/>
      <c r="AB6" s="64"/>
      <c r="AC6" s="64"/>
      <c r="AD6" s="64"/>
      <c r="AE6" s="64"/>
      <c r="AF6" s="64"/>
      <c r="AG6" s="64"/>
    </row>
    <row r="7" spans="1:33">
      <c r="A7" s="97"/>
      <c r="B7" s="97" t="s">
        <v>4</v>
      </c>
      <c r="C7" s="97" t="s">
        <v>343</v>
      </c>
      <c r="D7" s="97" t="s">
        <v>344</v>
      </c>
      <c r="E7" s="97" t="s">
        <v>636</v>
      </c>
      <c r="F7" s="97" t="s">
        <v>345</v>
      </c>
      <c r="G7" s="97" t="s">
        <v>15</v>
      </c>
      <c r="H7" s="97" t="s">
        <v>344</v>
      </c>
      <c r="I7" s="97" t="s">
        <v>636</v>
      </c>
      <c r="J7" s="97" t="s">
        <v>345</v>
      </c>
      <c r="K7" s="97" t="s">
        <v>344</v>
      </c>
      <c r="L7" s="97" t="s">
        <v>344</v>
      </c>
      <c r="M7" s="64"/>
      <c r="N7" s="97" t="s">
        <v>344</v>
      </c>
      <c r="O7" s="97" t="s">
        <v>344</v>
      </c>
      <c r="P7" s="97" t="s">
        <v>344</v>
      </c>
      <c r="Q7" s="97" t="s">
        <v>344</v>
      </c>
      <c r="R7" s="64"/>
      <c r="S7" s="96">
        <f ca="1">Development!BT89</f>
        <v>1</v>
      </c>
      <c r="T7" s="96">
        <f ca="1">S7</f>
        <v>1</v>
      </c>
      <c r="U7" s="96">
        <f ca="1">T7</f>
        <v>1</v>
      </c>
      <c r="V7" s="97" t="s">
        <v>344</v>
      </c>
      <c r="W7" s="64"/>
      <c r="X7" s="97" t="s">
        <v>344</v>
      </c>
      <c r="Y7" s="64"/>
      <c r="Z7" s="64"/>
      <c r="AA7" s="64"/>
      <c r="AB7" s="64"/>
      <c r="AC7" s="64"/>
      <c r="AD7" s="64"/>
      <c r="AE7" s="64"/>
      <c r="AF7" s="64"/>
      <c r="AG7" s="64"/>
    </row>
    <row r="8" spans="1:33">
      <c r="A8" s="104" t="s">
        <v>13</v>
      </c>
      <c r="B8" s="171">
        <f>SUM(B11:B50)</f>
        <v>924.89700000000005</v>
      </c>
      <c r="C8" s="171">
        <f t="shared" ref="C8:V8" si="0">SUM(C11:C50)</f>
        <v>263.37015127829659</v>
      </c>
      <c r="D8" s="171">
        <f t="shared" si="0"/>
        <v>5026.2801651666705</v>
      </c>
      <c r="E8" s="171">
        <f t="shared" si="0"/>
        <v>289.99999999999994</v>
      </c>
      <c r="F8" s="171"/>
      <c r="G8" s="171">
        <f t="shared" si="0"/>
        <v>0</v>
      </c>
      <c r="H8" s="171">
        <f t="shared" si="0"/>
        <v>48113.357186038651</v>
      </c>
      <c r="I8" s="171"/>
      <c r="J8" s="171"/>
      <c r="K8" s="171"/>
      <c r="L8" s="171">
        <f t="shared" si="0"/>
        <v>53139.637351205325</v>
      </c>
      <c r="M8" s="105"/>
      <c r="N8" s="171">
        <f t="shared" si="0"/>
        <v>4939.3814509244821</v>
      </c>
      <c r="O8" s="171">
        <f t="shared" si="0"/>
        <v>47281.531513781636</v>
      </c>
      <c r="P8" s="171">
        <f t="shared" si="0"/>
        <v>0</v>
      </c>
      <c r="Q8" s="171">
        <f t="shared" si="0"/>
        <v>52220.912964706127</v>
      </c>
      <c r="R8" s="105"/>
      <c r="S8" s="171">
        <f t="shared" ca="1" si="0"/>
        <v>4939.3814509244821</v>
      </c>
      <c r="T8" s="171">
        <f t="shared" ca="1" si="0"/>
        <v>47281.531513781636</v>
      </c>
      <c r="U8" s="171">
        <f ca="1">SUM(U11:U50)</f>
        <v>0</v>
      </c>
      <c r="V8" s="171">
        <f t="shared" ca="1" si="0"/>
        <v>52220.912964706127</v>
      </c>
      <c r="W8" s="105"/>
      <c r="X8" s="171">
        <f>SUM(X11:X50)</f>
        <v>52220.912964706127</v>
      </c>
      <c r="Y8" s="64"/>
      <c r="Z8" s="64"/>
      <c r="AA8" s="64"/>
      <c r="AB8" s="64"/>
      <c r="AC8" s="64"/>
      <c r="AD8" s="64"/>
      <c r="AE8" s="64"/>
      <c r="AF8" s="64"/>
      <c r="AG8" s="64"/>
    </row>
    <row r="9" spans="1:33">
      <c r="A9" s="115"/>
      <c r="B9" s="172"/>
      <c r="C9" s="172"/>
      <c r="D9" s="172"/>
      <c r="E9" s="172"/>
      <c r="F9" s="172"/>
      <c r="G9" s="172"/>
      <c r="H9" s="172"/>
      <c r="I9" s="172"/>
      <c r="J9" s="172"/>
      <c r="K9" s="172"/>
      <c r="L9" s="172"/>
      <c r="M9" s="105"/>
      <c r="N9" s="105"/>
      <c r="O9" s="105"/>
      <c r="P9" s="105"/>
      <c r="Q9" s="145"/>
      <c r="R9" s="105"/>
      <c r="S9" s="145"/>
      <c r="T9" s="145"/>
      <c r="U9" s="145"/>
      <c r="V9" s="145"/>
      <c r="W9" s="105"/>
      <c r="X9" s="105"/>
      <c r="Y9" s="64"/>
      <c r="Z9" s="64"/>
      <c r="AA9" s="64"/>
      <c r="AB9" s="64"/>
      <c r="AC9" s="64"/>
      <c r="AD9" s="64"/>
      <c r="AE9" s="64"/>
      <c r="AF9" s="64"/>
      <c r="AG9" s="64"/>
    </row>
    <row r="10" spans="1:33">
      <c r="A10" s="64"/>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64"/>
      <c r="Z10" s="64"/>
      <c r="AA10" s="64"/>
      <c r="AB10" s="64"/>
      <c r="AC10" s="64"/>
      <c r="AD10" s="64"/>
      <c r="AE10" s="64"/>
      <c r="AF10" s="64"/>
      <c r="AG10" s="64"/>
    </row>
    <row r="11" spans="1:33">
      <c r="A11" s="106">
        <f>'Success Cash Flow'!A10</f>
        <v>2023</v>
      </c>
      <c r="B11" s="107">
        <f>Production!X31</f>
        <v>0</v>
      </c>
      <c r="C11" s="107">
        <f>'Selected Economics'!D11/'Selected Economics'!E11*Input!$B$31/1000*'Sensitivity Ranges'!$F$42</f>
        <v>3.2054794520547945</v>
      </c>
      <c r="D11" s="107">
        <f>C11*B11</f>
        <v>0</v>
      </c>
      <c r="E11" s="107">
        <f>Production!Y31</f>
        <v>0</v>
      </c>
      <c r="F11" s="107">
        <f>'Selected Economics'!C11/'Selected Economics'!E11*'Sensitivity Ranges'!$F$47</f>
        <v>109.58904109589041</v>
      </c>
      <c r="G11" s="107"/>
      <c r="H11" s="107">
        <f>F11*E11</f>
        <v>0</v>
      </c>
      <c r="I11" s="107">
        <f>Production!Z31</f>
        <v>0</v>
      </c>
      <c r="J11" s="107">
        <f>'Selected Economics'!B11/'Selected Economics'!E11*'Sensitivity Ranges'!$F$47</f>
        <v>87.671232876712324</v>
      </c>
      <c r="K11" s="107">
        <f>J11*I11</f>
        <v>0</v>
      </c>
      <c r="L11" s="107">
        <f>H11+D11+K11</f>
        <v>0</v>
      </c>
      <c r="M11" s="105"/>
      <c r="N11" s="107">
        <f>D11*Abandonment!H16</f>
        <v>0</v>
      </c>
      <c r="O11" s="107">
        <f>H11*Abandonment!H16</f>
        <v>0</v>
      </c>
      <c r="P11" s="107">
        <f>K11*Abandonment!H16</f>
        <v>0</v>
      </c>
      <c r="Q11" s="107">
        <f t="shared" ref="Q11:Q17" si="1">O11+N11+P11</f>
        <v>0</v>
      </c>
      <c r="R11" s="105"/>
      <c r="S11" s="107">
        <f ca="1">N11*S$7</f>
        <v>0</v>
      </c>
      <c r="T11" s="107">
        <f t="shared" ref="T11:U50" ca="1" si="2">O11*T$7</f>
        <v>0</v>
      </c>
      <c r="U11" s="107">
        <f t="shared" ca="1" si="2"/>
        <v>0</v>
      </c>
      <c r="V11" s="107">
        <f ca="1">SUM(S11:U11)</f>
        <v>0</v>
      </c>
      <c r="W11" s="105"/>
      <c r="X11" s="107">
        <f>L11*Abandonment!H16</f>
        <v>0</v>
      </c>
      <c r="Y11" s="64"/>
      <c r="Z11" s="64"/>
      <c r="AA11" s="64"/>
      <c r="AB11" s="64"/>
      <c r="AC11" s="64"/>
      <c r="AD11" s="64"/>
      <c r="AE11" s="64"/>
      <c r="AF11" s="64"/>
      <c r="AG11" s="64"/>
    </row>
    <row r="12" spans="1:33">
      <c r="A12" s="108">
        <f>A11+1</f>
        <v>2024</v>
      </c>
      <c r="B12" s="109">
        <f>Production!X32</f>
        <v>0</v>
      </c>
      <c r="C12" s="109">
        <f>'Selected Economics'!D12/'Selected Economics'!E12*Input!$B$31/1000*'Sensitivity Ranges'!$F$42</f>
        <v>3.5616438356164379</v>
      </c>
      <c r="D12" s="109">
        <f t="shared" ref="D12:D50" si="3">C12*B12</f>
        <v>0</v>
      </c>
      <c r="E12" s="109">
        <f>Production!Y32</f>
        <v>0</v>
      </c>
      <c r="F12" s="109">
        <f>'Selected Economics'!C12/'Selected Economics'!E12*'Sensitivity Ranges'!$F$47</f>
        <v>109.58904109589041</v>
      </c>
      <c r="G12" s="109"/>
      <c r="H12" s="109">
        <f t="shared" ref="H12:H50" si="4">F12*E12</f>
        <v>0</v>
      </c>
      <c r="I12" s="109">
        <f>Production!Z32</f>
        <v>0</v>
      </c>
      <c r="J12" s="109">
        <f>'Selected Economics'!B12/'Selected Economics'!E12*'Sensitivity Ranges'!$F$47</f>
        <v>87.671232876712324</v>
      </c>
      <c r="K12" s="109">
        <f t="shared" ref="K12:K50" si="5">J12*I12</f>
        <v>0</v>
      </c>
      <c r="L12" s="109">
        <f t="shared" ref="L12:L50" si="6">H12+D12+K12</f>
        <v>0</v>
      </c>
      <c r="M12" s="105"/>
      <c r="N12" s="109">
        <f>D12*Abandonment!H17</f>
        <v>0</v>
      </c>
      <c r="O12" s="109">
        <f>H12*Abandonment!H17</f>
        <v>0</v>
      </c>
      <c r="P12" s="109">
        <f>K12*Abandonment!H17</f>
        <v>0</v>
      </c>
      <c r="Q12" s="109">
        <f t="shared" si="1"/>
        <v>0</v>
      </c>
      <c r="R12" s="105"/>
      <c r="S12" s="109">
        <f t="shared" ref="S12:S50" ca="1" si="7">N12*S$7</f>
        <v>0</v>
      </c>
      <c r="T12" s="109">
        <f t="shared" ca="1" si="2"/>
        <v>0</v>
      </c>
      <c r="U12" s="109">
        <f t="shared" ca="1" si="2"/>
        <v>0</v>
      </c>
      <c r="V12" s="109">
        <f t="shared" ref="V12:V50" ca="1" si="8">SUM(S12:U12)</f>
        <v>0</v>
      </c>
      <c r="W12" s="105"/>
      <c r="X12" s="109">
        <f>L12*Abandonment!H17</f>
        <v>0</v>
      </c>
      <c r="Y12" s="64"/>
      <c r="Z12" s="64"/>
      <c r="AA12" s="64"/>
      <c r="AB12" s="64"/>
      <c r="AC12" s="64"/>
      <c r="AD12" s="64"/>
      <c r="AE12" s="64"/>
      <c r="AF12" s="64"/>
      <c r="AG12" s="64"/>
    </row>
    <row r="13" spans="1:33">
      <c r="A13" s="108">
        <f t="shared" ref="A13:A50" si="9">A12+1</f>
        <v>2025</v>
      </c>
      <c r="B13" s="109">
        <f>Production!X33</f>
        <v>0</v>
      </c>
      <c r="C13" s="109">
        <f>'Selected Economics'!D13/'Selected Economics'!E13*Input!$B$31/1000*'Sensitivity Ranges'!$F$42</f>
        <v>3.6898630136986301</v>
      </c>
      <c r="D13" s="109">
        <f t="shared" si="3"/>
        <v>0</v>
      </c>
      <c r="E13" s="109">
        <f>Production!Y33</f>
        <v>0</v>
      </c>
      <c r="F13" s="109">
        <f>'Selected Economics'!C13/'Selected Economics'!E13*'Sensitivity Ranges'!$F$47</f>
        <v>113.08219178082192</v>
      </c>
      <c r="G13" s="109"/>
      <c r="H13" s="109">
        <f t="shared" si="4"/>
        <v>0</v>
      </c>
      <c r="I13" s="109">
        <f>Production!Z33</f>
        <v>0</v>
      </c>
      <c r="J13" s="109">
        <f>'Selected Economics'!B13/'Selected Economics'!E13*'Sensitivity Ranges'!$F$47</f>
        <v>90.465753424657549</v>
      </c>
      <c r="K13" s="109">
        <f t="shared" si="5"/>
        <v>0</v>
      </c>
      <c r="L13" s="109">
        <f t="shared" si="6"/>
        <v>0</v>
      </c>
      <c r="M13" s="105"/>
      <c r="N13" s="109">
        <f>D13*Abandonment!H18</f>
        <v>0</v>
      </c>
      <c r="O13" s="109">
        <f>H13*Abandonment!H18</f>
        <v>0</v>
      </c>
      <c r="P13" s="109">
        <f>K13*Abandonment!H18</f>
        <v>0</v>
      </c>
      <c r="Q13" s="109">
        <f t="shared" si="1"/>
        <v>0</v>
      </c>
      <c r="R13" s="105"/>
      <c r="S13" s="109">
        <f t="shared" ca="1" si="7"/>
        <v>0</v>
      </c>
      <c r="T13" s="109">
        <f t="shared" ca="1" si="2"/>
        <v>0</v>
      </c>
      <c r="U13" s="109">
        <f t="shared" ca="1" si="2"/>
        <v>0</v>
      </c>
      <c r="V13" s="109">
        <f t="shared" ca="1" si="8"/>
        <v>0</v>
      </c>
      <c r="W13" s="105"/>
      <c r="X13" s="109">
        <f>L13*Abandonment!H18</f>
        <v>0</v>
      </c>
      <c r="Y13" s="64"/>
      <c r="Z13" s="64"/>
      <c r="AA13" s="64"/>
      <c r="AB13" s="64"/>
      <c r="AC13" s="64"/>
      <c r="AD13" s="64"/>
      <c r="AE13" s="64"/>
      <c r="AF13" s="64"/>
      <c r="AG13" s="64"/>
    </row>
    <row r="14" spans="1:33">
      <c r="A14" s="108">
        <f t="shared" si="9"/>
        <v>2026</v>
      </c>
      <c r="B14" s="109">
        <f>Production!X34</f>
        <v>0</v>
      </c>
      <c r="C14" s="109">
        <f>'Selected Economics'!D14/'Selected Economics'!E14*Input!$B$31/1000*'Sensitivity Ranges'!$F$42</f>
        <v>3.8219287671232878</v>
      </c>
      <c r="D14" s="109">
        <f t="shared" si="3"/>
        <v>0</v>
      </c>
      <c r="E14" s="109">
        <f>Production!Y34</f>
        <v>0</v>
      </c>
      <c r="F14" s="109">
        <f>'Selected Economics'!C14/'Selected Economics'!E14*'Sensitivity Ranges'!$F$47</f>
        <v>116.68013698630138</v>
      </c>
      <c r="G14" s="109"/>
      <c r="H14" s="109">
        <f t="shared" si="4"/>
        <v>0</v>
      </c>
      <c r="I14" s="109">
        <f>Production!Z34</f>
        <v>0</v>
      </c>
      <c r="J14" s="109">
        <f>'Selected Economics'!B14/'Selected Economics'!E14*'Sensitivity Ranges'!$F$47</f>
        <v>93.344109589041111</v>
      </c>
      <c r="K14" s="109">
        <f t="shared" si="5"/>
        <v>0</v>
      </c>
      <c r="L14" s="109">
        <f t="shared" si="6"/>
        <v>0</v>
      </c>
      <c r="M14" s="105"/>
      <c r="N14" s="109">
        <f>D14*Abandonment!H19</f>
        <v>0</v>
      </c>
      <c r="O14" s="109">
        <f>H14*Abandonment!H19</f>
        <v>0</v>
      </c>
      <c r="P14" s="109">
        <f>K14*Abandonment!H19</f>
        <v>0</v>
      </c>
      <c r="Q14" s="109">
        <f t="shared" si="1"/>
        <v>0</v>
      </c>
      <c r="R14" s="105"/>
      <c r="S14" s="109">
        <f t="shared" ca="1" si="7"/>
        <v>0</v>
      </c>
      <c r="T14" s="109">
        <f t="shared" ca="1" si="2"/>
        <v>0</v>
      </c>
      <c r="U14" s="109">
        <f t="shared" ca="1" si="2"/>
        <v>0</v>
      </c>
      <c r="V14" s="109">
        <f t="shared" ca="1" si="8"/>
        <v>0</v>
      </c>
      <c r="W14" s="105"/>
      <c r="X14" s="109">
        <f>L14*Abandonment!H19</f>
        <v>0</v>
      </c>
      <c r="Y14" s="64"/>
      <c r="Z14" s="64"/>
      <c r="AA14" s="64"/>
      <c r="AB14" s="64"/>
      <c r="AC14" s="64"/>
      <c r="AD14" s="64"/>
      <c r="AE14" s="64"/>
      <c r="AF14" s="64"/>
      <c r="AG14" s="64"/>
    </row>
    <row r="15" spans="1:33">
      <c r="A15" s="108">
        <f t="shared" si="9"/>
        <v>2027</v>
      </c>
      <c r="B15" s="109">
        <f>Production!X35</f>
        <v>0</v>
      </c>
      <c r="C15" s="109">
        <f>'Selected Economics'!D15/'Selected Economics'!E15*Input!$B$31/1000*'Sensitivity Ranges'!$F$42</f>
        <v>3.9365866301369858</v>
      </c>
      <c r="D15" s="109">
        <f t="shared" si="3"/>
        <v>0</v>
      </c>
      <c r="E15" s="109">
        <f>Production!Y35</f>
        <v>0</v>
      </c>
      <c r="F15" s="109">
        <f>'Selected Economics'!C15/'Selected Economics'!E15*'Sensitivity Ranges'!$F$47</f>
        <v>120.18054109589042</v>
      </c>
      <c r="G15" s="109"/>
      <c r="H15" s="109">
        <f t="shared" si="4"/>
        <v>0</v>
      </c>
      <c r="I15" s="109">
        <f>Production!Z35</f>
        <v>0</v>
      </c>
      <c r="J15" s="109">
        <f>'Selected Economics'!B15/'Selected Economics'!E15*'Sensitivity Ranges'!$F$47</f>
        <v>96.144432876712344</v>
      </c>
      <c r="K15" s="109">
        <f t="shared" si="5"/>
        <v>0</v>
      </c>
      <c r="L15" s="109">
        <f t="shared" si="6"/>
        <v>0</v>
      </c>
      <c r="M15" s="105"/>
      <c r="N15" s="109">
        <f>D15*Abandonment!H20</f>
        <v>0</v>
      </c>
      <c r="O15" s="109">
        <f>H15*Abandonment!H20</f>
        <v>0</v>
      </c>
      <c r="P15" s="109">
        <f>K15*Abandonment!H20</f>
        <v>0</v>
      </c>
      <c r="Q15" s="109">
        <f t="shared" si="1"/>
        <v>0</v>
      </c>
      <c r="R15" s="105"/>
      <c r="S15" s="109">
        <f t="shared" ca="1" si="7"/>
        <v>0</v>
      </c>
      <c r="T15" s="109">
        <f t="shared" ca="1" si="2"/>
        <v>0</v>
      </c>
      <c r="U15" s="109">
        <f t="shared" ca="1" si="2"/>
        <v>0</v>
      </c>
      <c r="V15" s="109">
        <f t="shared" ca="1" si="8"/>
        <v>0</v>
      </c>
      <c r="W15" s="105"/>
      <c r="X15" s="109">
        <f>L15*Abandonment!H20</f>
        <v>0</v>
      </c>
      <c r="Y15" s="64"/>
      <c r="Z15" s="64"/>
      <c r="AA15" s="64"/>
      <c r="AB15" s="64"/>
      <c r="AC15" s="64"/>
      <c r="AD15" s="64"/>
      <c r="AE15" s="64"/>
      <c r="AF15" s="64"/>
      <c r="AG15" s="64"/>
    </row>
    <row r="16" spans="1:33">
      <c r="A16" s="108">
        <f t="shared" si="9"/>
        <v>2028</v>
      </c>
      <c r="B16" s="109">
        <f>Production!X36</f>
        <v>0</v>
      </c>
      <c r="C16" s="109">
        <f>'Selected Economics'!D16/'Selected Economics'!E16*Input!$B$31/1000*'Sensitivity Ranges'!$F$42</f>
        <v>4.0546842290410963</v>
      </c>
      <c r="D16" s="109">
        <f t="shared" si="3"/>
        <v>0</v>
      </c>
      <c r="E16" s="109">
        <f>Production!Y36</f>
        <v>0</v>
      </c>
      <c r="F16" s="109">
        <f>'Selected Economics'!C16/'Selected Economics'!E16*'Sensitivity Ranges'!$F$47</f>
        <v>123.78595732876714</v>
      </c>
      <c r="G16" s="109"/>
      <c r="H16" s="109">
        <f t="shared" si="4"/>
        <v>0</v>
      </c>
      <c r="I16" s="109">
        <f>Production!Z36</f>
        <v>0</v>
      </c>
      <c r="J16" s="109">
        <f>'Selected Economics'!B16/'Selected Economics'!E16*'Sensitivity Ranges'!$F$47</f>
        <v>99.028765863013703</v>
      </c>
      <c r="K16" s="109">
        <f t="shared" si="5"/>
        <v>0</v>
      </c>
      <c r="L16" s="109">
        <f t="shared" si="6"/>
        <v>0</v>
      </c>
      <c r="M16" s="105"/>
      <c r="N16" s="109">
        <f>D16*Abandonment!H21</f>
        <v>0</v>
      </c>
      <c r="O16" s="109">
        <f>H16*Abandonment!H21</f>
        <v>0</v>
      </c>
      <c r="P16" s="109">
        <f>K16*Abandonment!H21</f>
        <v>0</v>
      </c>
      <c r="Q16" s="109">
        <f t="shared" si="1"/>
        <v>0</v>
      </c>
      <c r="R16" s="105"/>
      <c r="S16" s="109">
        <f t="shared" ca="1" si="7"/>
        <v>0</v>
      </c>
      <c r="T16" s="109">
        <f t="shared" ca="1" si="2"/>
        <v>0</v>
      </c>
      <c r="U16" s="109">
        <f t="shared" ca="1" si="2"/>
        <v>0</v>
      </c>
      <c r="V16" s="109">
        <f t="shared" ca="1" si="8"/>
        <v>0</v>
      </c>
      <c r="W16" s="105"/>
      <c r="X16" s="109">
        <f>L16*Abandonment!H21</f>
        <v>0</v>
      </c>
      <c r="Y16" s="64"/>
      <c r="Z16" s="64"/>
      <c r="AA16" s="64"/>
      <c r="AB16" s="64"/>
      <c r="AC16" s="64"/>
      <c r="AD16" s="64"/>
      <c r="AE16" s="64"/>
      <c r="AF16" s="64"/>
      <c r="AG16" s="64"/>
    </row>
    <row r="17" spans="1:33">
      <c r="A17" s="108">
        <f t="shared" si="9"/>
        <v>2029</v>
      </c>
      <c r="B17" s="109">
        <f>Production!X37</f>
        <v>0</v>
      </c>
      <c r="C17" s="109">
        <f>'Selected Economics'!D17/'Selected Economics'!E17*Input!$B$31/1000*'Sensitivity Ranges'!$F$42</f>
        <v>4.1763247559123293</v>
      </c>
      <c r="D17" s="109">
        <f t="shared" si="3"/>
        <v>0</v>
      </c>
      <c r="E17" s="109">
        <f>Production!Y37</f>
        <v>0</v>
      </c>
      <c r="F17" s="109">
        <f>'Selected Economics'!C17/'Selected Economics'!E17*'Sensitivity Ranges'!$F$47</f>
        <v>127.49953604863018</v>
      </c>
      <c r="G17" s="109"/>
      <c r="H17" s="109">
        <f t="shared" si="4"/>
        <v>0</v>
      </c>
      <c r="I17" s="109">
        <f>Production!Z37</f>
        <v>0</v>
      </c>
      <c r="J17" s="109">
        <f>'Selected Economics'!B17/'Selected Economics'!E17*'Sensitivity Ranges'!$F$47</f>
        <v>101.99962883890414</v>
      </c>
      <c r="K17" s="109">
        <f t="shared" si="5"/>
        <v>0</v>
      </c>
      <c r="L17" s="109">
        <f t="shared" si="6"/>
        <v>0</v>
      </c>
      <c r="M17" s="105"/>
      <c r="N17" s="109">
        <f>D17*Abandonment!H22</f>
        <v>0</v>
      </c>
      <c r="O17" s="109">
        <f>H17*Abandonment!H22</f>
        <v>0</v>
      </c>
      <c r="P17" s="109">
        <f>K17*Abandonment!H22</f>
        <v>0</v>
      </c>
      <c r="Q17" s="109">
        <f t="shared" si="1"/>
        <v>0</v>
      </c>
      <c r="R17" s="105"/>
      <c r="S17" s="109">
        <f t="shared" ca="1" si="7"/>
        <v>0</v>
      </c>
      <c r="T17" s="109">
        <f t="shared" ca="1" si="2"/>
        <v>0</v>
      </c>
      <c r="U17" s="109">
        <f t="shared" ca="1" si="2"/>
        <v>0</v>
      </c>
      <c r="V17" s="109">
        <f t="shared" ca="1" si="8"/>
        <v>0</v>
      </c>
      <c r="W17" s="105"/>
      <c r="X17" s="109">
        <f>L17*Abandonment!H22</f>
        <v>0</v>
      </c>
      <c r="Y17" s="64"/>
      <c r="Z17" s="64"/>
      <c r="AA17" s="64"/>
      <c r="AB17" s="64"/>
      <c r="AC17" s="64"/>
      <c r="AD17" s="64"/>
      <c r="AE17" s="64"/>
      <c r="AF17" s="64"/>
      <c r="AG17" s="64"/>
    </row>
    <row r="18" spans="1:33">
      <c r="A18" s="108">
        <f t="shared" si="9"/>
        <v>2030</v>
      </c>
      <c r="B18" s="109">
        <f>Production!X38</f>
        <v>0</v>
      </c>
      <c r="C18" s="109">
        <f>'Selected Economics'!D18/'Selected Economics'!E18*Input!$B$31/1000*'Sensitivity Ranges'!$F$42</f>
        <v>4.3016144985896991</v>
      </c>
      <c r="D18" s="109">
        <f t="shared" si="3"/>
        <v>0</v>
      </c>
      <c r="E18" s="109">
        <f>Production!Y38</f>
        <v>0</v>
      </c>
      <c r="F18" s="109">
        <f>'Selected Economics'!C18/'Selected Economics'!E18*'Sensitivity Ranges'!$F$47</f>
        <v>131.32452213008906</v>
      </c>
      <c r="G18" s="109"/>
      <c r="H18" s="109">
        <f t="shared" si="4"/>
        <v>0</v>
      </c>
      <c r="I18" s="109">
        <f>Production!Z38</f>
        <v>0</v>
      </c>
      <c r="J18" s="109">
        <f>'Selected Economics'!B18/'Selected Economics'!E18*'Sensitivity Ranges'!$F$47</f>
        <v>105.05961770407126</v>
      </c>
      <c r="K18" s="109">
        <f t="shared" si="5"/>
        <v>0</v>
      </c>
      <c r="L18" s="109">
        <f t="shared" si="6"/>
        <v>0</v>
      </c>
      <c r="M18" s="105"/>
      <c r="N18" s="109">
        <f>D18*Abandonment!H23</f>
        <v>0</v>
      </c>
      <c r="O18" s="109">
        <f>H18*Abandonment!H23</f>
        <v>0</v>
      </c>
      <c r="P18" s="109">
        <f>K18*Abandonment!H23</f>
        <v>0</v>
      </c>
      <c r="Q18" s="109">
        <f>O18+N18+P18</f>
        <v>0</v>
      </c>
      <c r="R18" s="105"/>
      <c r="S18" s="109">
        <f t="shared" ca="1" si="7"/>
        <v>0</v>
      </c>
      <c r="T18" s="109">
        <f t="shared" ca="1" si="2"/>
        <v>0</v>
      </c>
      <c r="U18" s="109">
        <f t="shared" ca="1" si="2"/>
        <v>0</v>
      </c>
      <c r="V18" s="109">
        <f t="shared" ca="1" si="8"/>
        <v>0</v>
      </c>
      <c r="W18" s="105"/>
      <c r="X18" s="109">
        <f>L18*Abandonment!H23</f>
        <v>0</v>
      </c>
      <c r="Y18" s="64"/>
      <c r="Z18" s="64"/>
      <c r="AA18" s="64"/>
      <c r="AB18" s="64"/>
      <c r="AC18" s="64"/>
      <c r="AD18" s="64"/>
      <c r="AE18" s="64"/>
      <c r="AF18" s="64"/>
      <c r="AG18" s="64"/>
    </row>
    <row r="19" spans="1:33">
      <c r="A19" s="108">
        <f t="shared" si="9"/>
        <v>2031</v>
      </c>
      <c r="B19" s="109">
        <f>Production!X39</f>
        <v>53.987921166340143</v>
      </c>
      <c r="C19" s="109">
        <f>'Selected Economics'!D19/'Selected Economics'!E19*Input!$B$31/1000*'Sensitivity Ranges'!$F$42</f>
        <v>4.4306629335473895</v>
      </c>
      <c r="D19" s="109">
        <f t="shared" si="3"/>
        <v>239.20228117098182</v>
      </c>
      <c r="E19" s="109">
        <f>Production!Y39</f>
        <v>16.927827788649591</v>
      </c>
      <c r="F19" s="109">
        <f>'Selected Economics'!C19/'Selected Economics'!E19*'Sensitivity Ranges'!$F$47</f>
        <v>135.26425779399173</v>
      </c>
      <c r="G19" s="109"/>
      <c r="H19" s="109">
        <f t="shared" si="4"/>
        <v>2289.7300618961954</v>
      </c>
      <c r="I19" s="109">
        <f>Production!Z39</f>
        <v>0</v>
      </c>
      <c r="J19" s="109">
        <f>'Selected Economics'!B19/'Selected Economics'!E19*'Sensitivity Ranges'!$F$47</f>
        <v>108.21140623519341</v>
      </c>
      <c r="K19" s="109">
        <f t="shared" si="5"/>
        <v>0</v>
      </c>
      <c r="L19" s="109">
        <f t="shared" si="6"/>
        <v>2528.932343067177</v>
      </c>
      <c r="M19" s="105"/>
      <c r="N19" s="109">
        <f>D19*Abandonment!H24</f>
        <v>239.20228117098182</v>
      </c>
      <c r="O19" s="109">
        <f>H19*Abandonment!H24</f>
        <v>2289.7300618961954</v>
      </c>
      <c r="P19" s="109">
        <f>K19*Abandonment!H24</f>
        <v>0</v>
      </c>
      <c r="Q19" s="109">
        <f t="shared" ref="Q19:Q50" si="10">O19+N19+P19</f>
        <v>2528.932343067177</v>
      </c>
      <c r="R19" s="105"/>
      <c r="S19" s="109">
        <f t="shared" ca="1" si="7"/>
        <v>239.20228117098182</v>
      </c>
      <c r="T19" s="109">
        <f t="shared" ca="1" si="2"/>
        <v>2289.7300618961954</v>
      </c>
      <c r="U19" s="109">
        <f t="shared" ca="1" si="2"/>
        <v>0</v>
      </c>
      <c r="V19" s="109">
        <f t="shared" ca="1" si="8"/>
        <v>2528.932343067177</v>
      </c>
      <c r="W19" s="105"/>
      <c r="X19" s="109">
        <f>L19*Abandonment!H24</f>
        <v>2528.932343067177</v>
      </c>
      <c r="Y19" s="64"/>
      <c r="Z19" s="64"/>
      <c r="AA19" s="64"/>
      <c r="AB19" s="64"/>
      <c r="AC19" s="64"/>
      <c r="AD19" s="64"/>
      <c r="AE19" s="64"/>
      <c r="AF19" s="64"/>
      <c r="AG19" s="64"/>
    </row>
    <row r="20" spans="1:33">
      <c r="A20" s="108">
        <f t="shared" si="9"/>
        <v>2032</v>
      </c>
      <c r="B20" s="109">
        <f>Production!X40</f>
        <v>92.743096438356162</v>
      </c>
      <c r="C20" s="109">
        <f>'Selected Economics'!D20/'Selected Economics'!E20*Input!$B$31/1000*'Sensitivity Ranges'!$F$42</f>
        <v>4.5635828215538119</v>
      </c>
      <c r="D20" s="109">
        <f t="shared" si="3"/>
        <v>423.2408017237907</v>
      </c>
      <c r="E20" s="109">
        <f>Production!Y40</f>
        <v>29.079452054794519</v>
      </c>
      <c r="F20" s="109">
        <f>'Selected Economics'!C20/'Selected Economics'!E20*'Sensitivity Ranges'!$F$47</f>
        <v>139.32218552781151</v>
      </c>
      <c r="G20" s="109"/>
      <c r="H20" s="109">
        <f t="shared" si="4"/>
        <v>4051.4128142251816</v>
      </c>
      <c r="I20" s="109">
        <f>Production!Z40</f>
        <v>0</v>
      </c>
      <c r="J20" s="109">
        <f>'Selected Economics'!B20/'Selected Economics'!E20*'Sensitivity Ranges'!$F$47</f>
        <v>111.45774842224921</v>
      </c>
      <c r="K20" s="109">
        <f t="shared" si="5"/>
        <v>0</v>
      </c>
      <c r="L20" s="109">
        <f t="shared" si="6"/>
        <v>4474.6536159489724</v>
      </c>
      <c r="M20" s="105"/>
      <c r="N20" s="109">
        <f>D20*Abandonment!H25</f>
        <v>423.2408017237907</v>
      </c>
      <c r="O20" s="109">
        <f>H20*Abandonment!H25</f>
        <v>4051.4128142251816</v>
      </c>
      <c r="P20" s="109">
        <f>K20*Abandonment!H25</f>
        <v>0</v>
      </c>
      <c r="Q20" s="109">
        <f t="shared" si="10"/>
        <v>4474.6536159489724</v>
      </c>
      <c r="R20" s="105"/>
      <c r="S20" s="109">
        <f t="shared" ca="1" si="7"/>
        <v>423.2408017237907</v>
      </c>
      <c r="T20" s="109">
        <f t="shared" ca="1" si="2"/>
        <v>4051.4128142251816</v>
      </c>
      <c r="U20" s="109">
        <f t="shared" ca="1" si="2"/>
        <v>0</v>
      </c>
      <c r="V20" s="109">
        <f t="shared" ca="1" si="8"/>
        <v>4474.6536159489724</v>
      </c>
      <c r="W20" s="105"/>
      <c r="X20" s="109">
        <f>L20*Abandonment!H25</f>
        <v>4474.6536159489724</v>
      </c>
      <c r="Y20" s="64"/>
      <c r="Z20" s="64"/>
      <c r="AA20" s="173"/>
      <c r="AB20" s="133"/>
      <c r="AC20" s="64"/>
      <c r="AD20" s="64"/>
      <c r="AE20" s="64"/>
      <c r="AF20" s="64"/>
      <c r="AG20" s="64"/>
    </row>
    <row r="21" spans="1:33">
      <c r="A21" s="108">
        <f t="shared" si="9"/>
        <v>2033</v>
      </c>
      <c r="B21" s="109">
        <f>Production!X41</f>
        <v>92.489700000000013</v>
      </c>
      <c r="C21" s="109">
        <f>'Selected Economics'!D21/'Selected Economics'!E21*Input!$B$31/1000*'Sensitivity Ranges'!$F$42</f>
        <v>4.7004903062004262</v>
      </c>
      <c r="D21" s="109">
        <f t="shared" si="3"/>
        <v>434.74693827338564</v>
      </c>
      <c r="E21" s="109">
        <f>Production!Y41</f>
        <v>29</v>
      </c>
      <c r="F21" s="109">
        <f>'Selected Economics'!C21/'Selected Economics'!E21*'Sensitivity Ranges'!$F$47</f>
        <v>143.50185109364585</v>
      </c>
      <c r="G21" s="109"/>
      <c r="H21" s="109">
        <f t="shared" si="4"/>
        <v>4161.5536817157299</v>
      </c>
      <c r="I21" s="109">
        <f>Production!Z41</f>
        <v>0</v>
      </c>
      <c r="J21" s="109">
        <f>'Selected Economics'!B21/'Selected Economics'!E21*'Sensitivity Ranges'!$F$47</f>
        <v>114.80148087491669</v>
      </c>
      <c r="K21" s="109">
        <f t="shared" si="5"/>
        <v>0</v>
      </c>
      <c r="L21" s="109">
        <f t="shared" si="6"/>
        <v>4596.3006199891151</v>
      </c>
      <c r="M21" s="105"/>
      <c r="N21" s="109">
        <f>D21*Abandonment!H26</f>
        <v>434.74693827338564</v>
      </c>
      <c r="O21" s="109">
        <f>H21*Abandonment!H26</f>
        <v>4161.5536817157299</v>
      </c>
      <c r="P21" s="109">
        <f>K21*Abandonment!H26</f>
        <v>0</v>
      </c>
      <c r="Q21" s="109">
        <f t="shared" si="10"/>
        <v>4596.3006199891151</v>
      </c>
      <c r="R21" s="105"/>
      <c r="S21" s="109">
        <f t="shared" ca="1" si="7"/>
        <v>434.74693827338564</v>
      </c>
      <c r="T21" s="109">
        <f t="shared" ca="1" si="2"/>
        <v>4161.5536817157299</v>
      </c>
      <c r="U21" s="109">
        <f t="shared" ca="1" si="2"/>
        <v>0</v>
      </c>
      <c r="V21" s="109">
        <f t="shared" ca="1" si="8"/>
        <v>4596.3006199891151</v>
      </c>
      <c r="W21" s="105"/>
      <c r="X21" s="109">
        <f>L21*Abandonment!H26</f>
        <v>4596.3006199891151</v>
      </c>
      <c r="Y21" s="64"/>
      <c r="Z21" s="64"/>
      <c r="AA21" s="64"/>
      <c r="AB21" s="64"/>
      <c r="AC21" s="64"/>
      <c r="AD21" s="64"/>
      <c r="AE21" s="64"/>
      <c r="AF21" s="64"/>
      <c r="AG21" s="64"/>
    </row>
    <row r="22" spans="1:33">
      <c r="A22" s="108">
        <f t="shared" si="9"/>
        <v>2034</v>
      </c>
      <c r="B22" s="109">
        <f>Production!X42</f>
        <v>92.489700000000013</v>
      </c>
      <c r="C22" s="109">
        <f>'Selected Economics'!D22/'Selected Economics'!E22*Input!$B$31/1000*'Sensitivity Ranges'!$F$42</f>
        <v>4.8415050153864403</v>
      </c>
      <c r="D22" s="109">
        <f t="shared" si="3"/>
        <v>447.78934642158731</v>
      </c>
      <c r="E22" s="109">
        <f>Production!Y42</f>
        <v>29</v>
      </c>
      <c r="F22" s="109">
        <f>'Selected Economics'!C22/'Selected Economics'!E22*'Sensitivity Ranges'!$F$47</f>
        <v>147.80690662645523</v>
      </c>
      <c r="G22" s="109"/>
      <c r="H22" s="109">
        <f t="shared" si="4"/>
        <v>4286.4002921672018</v>
      </c>
      <c r="I22" s="109">
        <f>Production!Z42</f>
        <v>0</v>
      </c>
      <c r="J22" s="109">
        <f>'Selected Economics'!B22/'Selected Economics'!E22*'Sensitivity Ranges'!$F$47</f>
        <v>118.24552530116419</v>
      </c>
      <c r="K22" s="109">
        <f t="shared" si="5"/>
        <v>0</v>
      </c>
      <c r="L22" s="109">
        <f t="shared" si="6"/>
        <v>4734.1896385887894</v>
      </c>
      <c r="M22" s="105"/>
      <c r="N22" s="109">
        <f>D22*Abandonment!H27</f>
        <v>447.78934642158731</v>
      </c>
      <c r="O22" s="109">
        <f>H22*Abandonment!H27</f>
        <v>4286.4002921672018</v>
      </c>
      <c r="P22" s="109">
        <f>K22*Abandonment!H27</f>
        <v>0</v>
      </c>
      <c r="Q22" s="109">
        <f t="shared" si="10"/>
        <v>4734.1896385887894</v>
      </c>
      <c r="R22" s="105"/>
      <c r="S22" s="109">
        <f t="shared" ca="1" si="7"/>
        <v>447.78934642158731</v>
      </c>
      <c r="T22" s="109">
        <f t="shared" ca="1" si="2"/>
        <v>4286.4002921672018</v>
      </c>
      <c r="U22" s="109">
        <f t="shared" ca="1" si="2"/>
        <v>0</v>
      </c>
      <c r="V22" s="109">
        <f t="shared" ca="1" si="8"/>
        <v>4734.1896385887894</v>
      </c>
      <c r="W22" s="105"/>
      <c r="X22" s="109">
        <f>L22*Abandonment!H27</f>
        <v>4734.1896385887894</v>
      </c>
      <c r="Y22" s="64"/>
      <c r="Z22" s="64"/>
      <c r="AA22" s="64"/>
      <c r="AB22" s="64"/>
      <c r="AC22" s="64"/>
      <c r="AD22" s="64"/>
      <c r="AE22" s="64"/>
      <c r="AF22" s="64"/>
      <c r="AG22" s="64"/>
    </row>
    <row r="23" spans="1:33">
      <c r="A23" s="108">
        <f t="shared" si="9"/>
        <v>2035</v>
      </c>
      <c r="B23" s="109">
        <f>Production!X43</f>
        <v>89.985018206353217</v>
      </c>
      <c r="C23" s="109">
        <f>'Selected Economics'!D23/'Selected Economics'!E23*Input!$B$31/1000*'Sensitivity Ranges'!$F$42</f>
        <v>4.9867501658480311</v>
      </c>
      <c r="D23" s="109">
        <f t="shared" si="3"/>
        <v>448.73280446437002</v>
      </c>
      <c r="E23" s="109">
        <f>Production!Y43</f>
        <v>28.214660962077325</v>
      </c>
      <c r="F23" s="109">
        <f>'Selected Economics'!C23/'Selected Economics'!E23*'Sensitivity Ranges'!$F$47</f>
        <v>152.24111382524893</v>
      </c>
      <c r="G23" s="109"/>
      <c r="H23" s="109">
        <f t="shared" si="4"/>
        <v>4295.4314110684218</v>
      </c>
      <c r="I23" s="109">
        <f>Production!Z43</f>
        <v>0</v>
      </c>
      <c r="J23" s="109">
        <f>'Selected Economics'!B23/'Selected Economics'!E23*'Sensitivity Ranges'!$F$47</f>
        <v>121.79289106019914</v>
      </c>
      <c r="K23" s="109">
        <f t="shared" si="5"/>
        <v>0</v>
      </c>
      <c r="L23" s="109">
        <f t="shared" si="6"/>
        <v>4744.1642155327918</v>
      </c>
      <c r="M23" s="105"/>
      <c r="N23" s="109">
        <f>D23*Abandonment!H28</f>
        <v>448.73280446437002</v>
      </c>
      <c r="O23" s="109">
        <f>H23*Abandonment!H28</f>
        <v>4295.4314110684218</v>
      </c>
      <c r="P23" s="109">
        <f>K23*Abandonment!H28</f>
        <v>0</v>
      </c>
      <c r="Q23" s="109">
        <f t="shared" si="10"/>
        <v>4744.1642155327918</v>
      </c>
      <c r="R23" s="105"/>
      <c r="S23" s="109">
        <f t="shared" ca="1" si="7"/>
        <v>448.73280446437002</v>
      </c>
      <c r="T23" s="109">
        <f t="shared" ca="1" si="2"/>
        <v>4295.4314110684218</v>
      </c>
      <c r="U23" s="109">
        <f t="shared" ca="1" si="2"/>
        <v>0</v>
      </c>
      <c r="V23" s="109">
        <f t="shared" ca="1" si="8"/>
        <v>4744.1642155327918</v>
      </c>
      <c r="W23" s="105"/>
      <c r="X23" s="109">
        <f>L23*Abandonment!H28</f>
        <v>4744.1642155327918</v>
      </c>
      <c r="Y23" s="64"/>
      <c r="Z23" s="64"/>
      <c r="AA23" s="64"/>
      <c r="AB23" s="64"/>
      <c r="AC23" s="64"/>
      <c r="AD23" s="64"/>
      <c r="AE23" s="64"/>
      <c r="AF23" s="64"/>
      <c r="AG23" s="64"/>
    </row>
    <row r="24" spans="1:33">
      <c r="A24" s="108">
        <f t="shared" si="9"/>
        <v>2036</v>
      </c>
      <c r="B24" s="109">
        <f>Production!X44</f>
        <v>77.800430887198431</v>
      </c>
      <c r="C24" s="109">
        <f>'Selected Economics'!D24/'Selected Economics'!E24*Input!$B$31/1000*'Sensitivity Ranges'!$F$42</f>
        <v>5.1363526708234728</v>
      </c>
      <c r="D24" s="109">
        <f t="shared" si="3"/>
        <v>399.61045097867867</v>
      </c>
      <c r="E24" s="109">
        <f>Production!Y44</f>
        <v>24.394202767754187</v>
      </c>
      <c r="F24" s="109">
        <f>'Selected Economics'!C24/'Selected Economics'!E24*'Sensitivity Ranges'!$F$47</f>
        <v>156.80834724000638</v>
      </c>
      <c r="G24" s="109"/>
      <c r="H24" s="109">
        <f t="shared" si="4"/>
        <v>3825.2146182491233</v>
      </c>
      <c r="I24" s="109">
        <f>Production!Z44</f>
        <v>0</v>
      </c>
      <c r="J24" s="109">
        <f>'Selected Economics'!B24/'Selected Economics'!E24*'Sensitivity Ranges'!$F$47</f>
        <v>125.44667779200512</v>
      </c>
      <c r="K24" s="109">
        <f t="shared" si="5"/>
        <v>0</v>
      </c>
      <c r="L24" s="109">
        <f t="shared" si="6"/>
        <v>4224.8250692278016</v>
      </c>
      <c r="M24" s="105"/>
      <c r="N24" s="109">
        <f>D24*Abandonment!H29</f>
        <v>399.61045097867867</v>
      </c>
      <c r="O24" s="109">
        <f>H24*Abandonment!H29</f>
        <v>3825.2146182491233</v>
      </c>
      <c r="P24" s="109">
        <f>K24*Abandonment!H29</f>
        <v>0</v>
      </c>
      <c r="Q24" s="109">
        <f t="shared" si="10"/>
        <v>4224.8250692278016</v>
      </c>
      <c r="R24" s="105"/>
      <c r="S24" s="109">
        <f t="shared" ca="1" si="7"/>
        <v>399.61045097867867</v>
      </c>
      <c r="T24" s="109">
        <f t="shared" ca="1" si="2"/>
        <v>3825.2146182491233</v>
      </c>
      <c r="U24" s="109">
        <f t="shared" ca="1" si="2"/>
        <v>0</v>
      </c>
      <c r="V24" s="109">
        <f t="shared" ca="1" si="8"/>
        <v>4224.8250692278016</v>
      </c>
      <c r="W24" s="105"/>
      <c r="X24" s="109">
        <f>L24*Abandonment!H29</f>
        <v>4224.8250692278016</v>
      </c>
      <c r="Y24" s="64"/>
      <c r="Z24" s="64"/>
      <c r="AA24" s="64"/>
      <c r="AB24" s="64"/>
      <c r="AC24" s="64"/>
      <c r="AD24" s="64"/>
      <c r="AE24" s="64"/>
      <c r="AF24" s="64"/>
      <c r="AG24" s="64"/>
    </row>
    <row r="25" spans="1:33">
      <c r="A25" s="108">
        <f t="shared" si="9"/>
        <v>2037</v>
      </c>
      <c r="B25" s="109">
        <f>Production!X45</f>
        <v>65.934603566500485</v>
      </c>
      <c r="C25" s="109">
        <f>'Selected Economics'!D25/'Selected Economics'!E25*Input!$B$31/1000*'Sensitivity Ranges'!$F$42</f>
        <v>5.2904432509481767</v>
      </c>
      <c r="D25" s="109">
        <f t="shared" si="3"/>
        <v>348.82327844233606</v>
      </c>
      <c r="E25" s="109">
        <f>Production!Y45</f>
        <v>20.67369126971451</v>
      </c>
      <c r="F25" s="109">
        <f>'Selected Economics'!C25/'Selected Economics'!E25*'Sensitivity Ranges'!$F$47</f>
        <v>161.51259765720658</v>
      </c>
      <c r="G25" s="109"/>
      <c r="H25" s="109">
        <f t="shared" si="4"/>
        <v>3339.0615801347039</v>
      </c>
      <c r="I25" s="109">
        <f>Production!Z45</f>
        <v>0</v>
      </c>
      <c r="J25" s="109">
        <f>'Selected Economics'!B25/'Selected Economics'!E25*'Sensitivity Ranges'!$F$47</f>
        <v>129.21007812576528</v>
      </c>
      <c r="K25" s="109">
        <f t="shared" si="5"/>
        <v>0</v>
      </c>
      <c r="L25" s="109">
        <f t="shared" si="6"/>
        <v>3687.8848585770402</v>
      </c>
      <c r="M25" s="105"/>
      <c r="N25" s="109">
        <f>D25*Abandonment!H30</f>
        <v>348.82327844233606</v>
      </c>
      <c r="O25" s="109">
        <f>H25*Abandonment!H30</f>
        <v>3339.0615801347039</v>
      </c>
      <c r="P25" s="109">
        <f>K25*Abandonment!H30</f>
        <v>0</v>
      </c>
      <c r="Q25" s="109">
        <f t="shared" si="10"/>
        <v>3687.8848585770402</v>
      </c>
      <c r="R25" s="105"/>
      <c r="S25" s="109">
        <f t="shared" ca="1" si="7"/>
        <v>348.82327844233606</v>
      </c>
      <c r="T25" s="109">
        <f t="shared" ca="1" si="2"/>
        <v>3339.0615801347039</v>
      </c>
      <c r="U25" s="109">
        <f t="shared" ca="1" si="2"/>
        <v>0</v>
      </c>
      <c r="V25" s="109">
        <f t="shared" ca="1" si="8"/>
        <v>3687.8848585770402</v>
      </c>
      <c r="W25" s="105"/>
      <c r="X25" s="109">
        <f>L25*Abandonment!H30</f>
        <v>3687.8848585770402</v>
      </c>
      <c r="Y25" s="64"/>
      <c r="Z25" s="64"/>
      <c r="AA25" s="64"/>
      <c r="AB25" s="64"/>
      <c r="AC25" s="64"/>
      <c r="AD25" s="64"/>
      <c r="AE25" s="64"/>
      <c r="AF25" s="64"/>
      <c r="AG25" s="64"/>
    </row>
    <row r="26" spans="1:33">
      <c r="A26" s="108">
        <f t="shared" si="9"/>
        <v>2038</v>
      </c>
      <c r="B26" s="109">
        <f>Production!X46</f>
        <v>56.044413031525387</v>
      </c>
      <c r="C26" s="109">
        <f>'Selected Economics'!D26/'Selected Economics'!E26*Input!$B$31/1000*'Sensitivity Ranges'!$F$42</f>
        <v>5.4491565484766218</v>
      </c>
      <c r="D26" s="109">
        <f t="shared" si="3"/>
        <v>305.39478027626507</v>
      </c>
      <c r="E26" s="109">
        <f>Production!Y46</f>
        <v>17.572637579257325</v>
      </c>
      <c r="F26" s="109">
        <f>'Selected Economics'!C26/'Selected Economics'!E26*'Sensitivity Ranges'!$F$47</f>
        <v>166.35797558692278</v>
      </c>
      <c r="G26" s="109"/>
      <c r="H26" s="109">
        <f t="shared" si="4"/>
        <v>2923.3484134079317</v>
      </c>
      <c r="I26" s="109">
        <f>Production!Z46</f>
        <v>0</v>
      </c>
      <c r="J26" s="109">
        <f>'Selected Economics'!B26/'Selected Economics'!E26*'Sensitivity Ranges'!$F$47</f>
        <v>133.08638046953823</v>
      </c>
      <c r="K26" s="109">
        <f t="shared" si="5"/>
        <v>0</v>
      </c>
      <c r="L26" s="109">
        <f t="shared" si="6"/>
        <v>3228.7431936841967</v>
      </c>
      <c r="M26" s="105"/>
      <c r="N26" s="109">
        <f>D26*Abandonment!H31</f>
        <v>305.39478027626507</v>
      </c>
      <c r="O26" s="109">
        <f>H26*Abandonment!H31</f>
        <v>2923.3484134079317</v>
      </c>
      <c r="P26" s="109">
        <f>K26*Abandonment!H31</f>
        <v>0</v>
      </c>
      <c r="Q26" s="109">
        <f t="shared" si="10"/>
        <v>3228.7431936841967</v>
      </c>
      <c r="R26" s="105"/>
      <c r="S26" s="109">
        <f t="shared" ca="1" si="7"/>
        <v>305.39478027626507</v>
      </c>
      <c r="T26" s="109">
        <f t="shared" ca="1" si="2"/>
        <v>2923.3484134079317</v>
      </c>
      <c r="U26" s="109">
        <f t="shared" ca="1" si="2"/>
        <v>0</v>
      </c>
      <c r="V26" s="109">
        <f t="shared" ca="1" si="8"/>
        <v>3228.7431936841967</v>
      </c>
      <c r="W26" s="105"/>
      <c r="X26" s="109">
        <f>L26*Abandonment!H31</f>
        <v>3228.7431936841967</v>
      </c>
      <c r="Y26" s="64"/>
      <c r="Z26" s="64"/>
      <c r="AA26" s="64"/>
      <c r="AB26" s="64"/>
      <c r="AC26" s="64"/>
      <c r="AD26" s="64"/>
      <c r="AE26" s="64"/>
      <c r="AF26" s="64"/>
      <c r="AG26" s="64"/>
    </row>
    <row r="27" spans="1:33">
      <c r="A27" s="108">
        <f t="shared" si="9"/>
        <v>2039</v>
      </c>
      <c r="B27" s="109">
        <f>Production!X47</f>
        <v>47.637751076796562</v>
      </c>
      <c r="C27" s="109">
        <f>'Selected Economics'!D27/'Selected Economics'!E27*Input!$B$31/1000*'Sensitivity Ranges'!$F$42</f>
        <v>5.6126312449309195</v>
      </c>
      <c r="D27" s="109">
        <f t="shared" si="3"/>
        <v>267.37313013186991</v>
      </c>
      <c r="E27" s="109">
        <f>Production!Y47</f>
        <v>14.936741942368721</v>
      </c>
      <c r="F27" s="109">
        <f>'Selected Economics'!C27/'Selected Economics'!E27*'Sensitivity Ranges'!$F$47</f>
        <v>171.34871485453047</v>
      </c>
      <c r="G27" s="109"/>
      <c r="H27" s="109">
        <f t="shared" si="4"/>
        <v>2559.3915359386438</v>
      </c>
      <c r="I27" s="109">
        <f>Production!Z47</f>
        <v>0</v>
      </c>
      <c r="J27" s="109">
        <f>'Selected Economics'!B27/'Selected Economics'!E27*'Sensitivity Ranges'!$F$47</f>
        <v>137.0789718836244</v>
      </c>
      <c r="K27" s="109">
        <f t="shared" si="5"/>
        <v>0</v>
      </c>
      <c r="L27" s="109">
        <f t="shared" si="6"/>
        <v>2826.7646660705136</v>
      </c>
      <c r="M27" s="105"/>
      <c r="N27" s="109">
        <f>D27*Abandonment!H32</f>
        <v>267.37313013186991</v>
      </c>
      <c r="O27" s="109">
        <f>H27*Abandonment!H32</f>
        <v>2559.3915359386438</v>
      </c>
      <c r="P27" s="109">
        <f>K27*Abandonment!H32</f>
        <v>0</v>
      </c>
      <c r="Q27" s="109">
        <f t="shared" si="10"/>
        <v>2826.7646660705136</v>
      </c>
      <c r="R27" s="105"/>
      <c r="S27" s="109">
        <f t="shared" ca="1" si="7"/>
        <v>267.37313013186991</v>
      </c>
      <c r="T27" s="109">
        <f t="shared" ca="1" si="2"/>
        <v>2559.3915359386438</v>
      </c>
      <c r="U27" s="109">
        <f t="shared" ca="1" si="2"/>
        <v>0</v>
      </c>
      <c r="V27" s="109">
        <f t="shared" ca="1" si="8"/>
        <v>2826.7646660705136</v>
      </c>
      <c r="W27" s="105"/>
      <c r="X27" s="109">
        <f>L27*Abandonment!H32</f>
        <v>2826.7646660705136</v>
      </c>
      <c r="Y27" s="64"/>
      <c r="Z27" s="64"/>
      <c r="AA27" s="64"/>
      <c r="AB27" s="64"/>
      <c r="AC27" s="64"/>
      <c r="AD27" s="64"/>
      <c r="AE27" s="64"/>
      <c r="AF27" s="64"/>
      <c r="AG27" s="64"/>
    </row>
    <row r="28" spans="1:33">
      <c r="A28" s="108">
        <f t="shared" si="9"/>
        <v>2040</v>
      </c>
      <c r="B28" s="109">
        <f>Production!X48</f>
        <v>40.59423227130214</v>
      </c>
      <c r="C28" s="109">
        <f>'Selected Economics'!D28/'Selected Economics'!E28*Input!$B$31/1000*'Sensitivity Ranges'!$F$42</f>
        <v>5.7810101822788473</v>
      </c>
      <c r="D28" s="109">
        <f t="shared" si="3"/>
        <v>234.67567010219025</v>
      </c>
      <c r="E28" s="109">
        <f>Production!Y48</f>
        <v>12.728257696454436</v>
      </c>
      <c r="F28" s="109">
        <f>'Selected Economics'!C28/'Selected Economics'!E28*'Sensitivity Ranges'!$F$47</f>
        <v>176.48917630016641</v>
      </c>
      <c r="G28" s="109"/>
      <c r="H28" s="109">
        <f t="shared" si="4"/>
        <v>2246.3997165834971</v>
      </c>
      <c r="I28" s="109">
        <f>Production!Z48</f>
        <v>0</v>
      </c>
      <c r="J28" s="109">
        <f>'Selected Economics'!B28/'Selected Economics'!E28*'Sensitivity Ranges'!$F$47</f>
        <v>141.19134104013312</v>
      </c>
      <c r="K28" s="109">
        <f t="shared" si="5"/>
        <v>0</v>
      </c>
      <c r="L28" s="109">
        <f t="shared" si="6"/>
        <v>2481.0753866856876</v>
      </c>
      <c r="M28" s="105"/>
      <c r="N28" s="109">
        <f>D28*Abandonment!H33</f>
        <v>234.67567010219025</v>
      </c>
      <c r="O28" s="109">
        <f>H28*Abandonment!H33</f>
        <v>2246.3997165834971</v>
      </c>
      <c r="P28" s="109">
        <f>K28*Abandonment!H33</f>
        <v>0</v>
      </c>
      <c r="Q28" s="109">
        <f t="shared" si="10"/>
        <v>2481.0753866856876</v>
      </c>
      <c r="R28" s="105"/>
      <c r="S28" s="109">
        <f t="shared" ca="1" si="7"/>
        <v>234.67567010219025</v>
      </c>
      <c r="T28" s="109">
        <f t="shared" ca="1" si="2"/>
        <v>2246.3997165834971</v>
      </c>
      <c r="U28" s="109">
        <f t="shared" ca="1" si="2"/>
        <v>0</v>
      </c>
      <c r="V28" s="109">
        <f t="shared" ca="1" si="8"/>
        <v>2481.0753866856876</v>
      </c>
      <c r="W28" s="105"/>
      <c r="X28" s="109">
        <f>L28*Abandonment!H33</f>
        <v>2481.0753866856876</v>
      </c>
      <c r="Y28" s="64"/>
      <c r="Z28" s="64"/>
      <c r="AA28" s="64"/>
      <c r="AB28" s="64"/>
      <c r="AC28" s="64"/>
      <c r="AD28" s="64"/>
      <c r="AE28" s="64"/>
      <c r="AF28" s="64"/>
      <c r="AG28" s="64"/>
    </row>
    <row r="29" spans="1:33">
      <c r="A29" s="108">
        <f t="shared" si="9"/>
        <v>2041</v>
      </c>
      <c r="B29" s="109">
        <f>Production!X49</f>
        <v>34.402953574581758</v>
      </c>
      <c r="C29" s="109">
        <f>'Selected Economics'!D29/'Selected Economics'!E29*Input!$B$31/1000*'Sensitivity Ranges'!$F$42</f>
        <v>5.9544404877472124</v>
      </c>
      <c r="D29" s="109">
        <f t="shared" si="3"/>
        <v>204.85033966257731</v>
      </c>
      <c r="E29" s="109">
        <f>Production!Y49</f>
        <v>10.786991996545247</v>
      </c>
      <c r="F29" s="109">
        <f>'Selected Economics'!C29/'Selected Economics'!E29*'Sensitivity Ranges'!$F$47</f>
        <v>181.78385158917141</v>
      </c>
      <c r="G29" s="109"/>
      <c r="H29" s="109">
        <f t="shared" si="4"/>
        <v>1960.9009521935609</v>
      </c>
      <c r="I29" s="109">
        <f>Production!Z49</f>
        <v>0</v>
      </c>
      <c r="J29" s="109">
        <f>'Selected Economics'!B29/'Selected Economics'!E29*'Sensitivity Ranges'!$F$47</f>
        <v>145.4270812713371</v>
      </c>
      <c r="K29" s="109">
        <f t="shared" si="5"/>
        <v>0</v>
      </c>
      <c r="L29" s="109">
        <f t="shared" si="6"/>
        <v>2165.7512918561383</v>
      </c>
      <c r="M29" s="105"/>
      <c r="N29" s="109">
        <f>D29*Abandonment!H34</f>
        <v>204.85033966257731</v>
      </c>
      <c r="O29" s="109">
        <f>H29*Abandonment!H34</f>
        <v>1960.9009521935609</v>
      </c>
      <c r="P29" s="109">
        <f>K29*Abandonment!H34</f>
        <v>0</v>
      </c>
      <c r="Q29" s="109">
        <f t="shared" si="10"/>
        <v>2165.7512918561383</v>
      </c>
      <c r="R29" s="105"/>
      <c r="S29" s="109">
        <f t="shared" ca="1" si="7"/>
        <v>204.85033966257731</v>
      </c>
      <c r="T29" s="109">
        <f t="shared" ca="1" si="2"/>
        <v>1960.9009521935609</v>
      </c>
      <c r="U29" s="109">
        <f t="shared" ca="1" si="2"/>
        <v>0</v>
      </c>
      <c r="V29" s="109">
        <f t="shared" ca="1" si="8"/>
        <v>2165.7512918561383</v>
      </c>
      <c r="W29" s="105"/>
      <c r="X29" s="109">
        <f>L29*Abandonment!H34</f>
        <v>2165.7512918561383</v>
      </c>
      <c r="Y29" s="64"/>
      <c r="Z29" s="64"/>
      <c r="AA29" s="64"/>
      <c r="AB29" s="64"/>
      <c r="AC29" s="64"/>
      <c r="AD29" s="64"/>
      <c r="AE29" s="64"/>
      <c r="AF29" s="64"/>
      <c r="AG29" s="64"/>
    </row>
    <row r="30" spans="1:33">
      <c r="A30" s="108">
        <f t="shared" si="9"/>
        <v>2042</v>
      </c>
      <c r="B30" s="109">
        <f>Production!X50</f>
        <v>29.24251053839453</v>
      </c>
      <c r="C30" s="109">
        <f>'Selected Economics'!D30/'Selected Economics'!E30*Input!$B$31/1000*'Sensitivity Ranges'!$F$42</f>
        <v>6.1330737023796313</v>
      </c>
      <c r="D30" s="109">
        <f t="shared" si="3"/>
        <v>179.34647237458674</v>
      </c>
      <c r="E30" s="109">
        <f>Production!Y50</f>
        <v>9.1689431970634718</v>
      </c>
      <c r="F30" s="109">
        <f>'Selected Economics'!C30/'Selected Economics'!E30*'Sensitivity Ranges'!$F$47</f>
        <v>187.23736713684656</v>
      </c>
      <c r="G30" s="109"/>
      <c r="H30" s="109">
        <f t="shared" si="4"/>
        <v>1716.768783645465</v>
      </c>
      <c r="I30" s="109">
        <f>Production!Z50</f>
        <v>0</v>
      </c>
      <c r="J30" s="109">
        <f>'Selected Economics'!B30/'Selected Economics'!E30*'Sensitivity Ranges'!$F$47</f>
        <v>149.78989370947724</v>
      </c>
      <c r="K30" s="109">
        <f t="shared" si="5"/>
        <v>0</v>
      </c>
      <c r="L30" s="109">
        <f t="shared" si="6"/>
        <v>1896.1152560200517</v>
      </c>
      <c r="M30" s="105"/>
      <c r="N30" s="109">
        <f>D30*Abandonment!H35</f>
        <v>179.34647237458674</v>
      </c>
      <c r="O30" s="109">
        <f>H30*Abandonment!H35</f>
        <v>1716.768783645465</v>
      </c>
      <c r="P30" s="109">
        <f>K30*Abandonment!H35</f>
        <v>0</v>
      </c>
      <c r="Q30" s="109">
        <f t="shared" si="10"/>
        <v>1896.1152560200517</v>
      </c>
      <c r="R30" s="105"/>
      <c r="S30" s="109">
        <f t="shared" ca="1" si="7"/>
        <v>179.34647237458674</v>
      </c>
      <c r="T30" s="109">
        <f t="shared" ca="1" si="2"/>
        <v>1716.768783645465</v>
      </c>
      <c r="U30" s="109">
        <f t="shared" ca="1" si="2"/>
        <v>0</v>
      </c>
      <c r="V30" s="109">
        <f t="shared" ca="1" si="8"/>
        <v>1896.1152560200517</v>
      </c>
      <c r="W30" s="105"/>
      <c r="X30" s="109">
        <f>L30*Abandonment!H35</f>
        <v>1896.1152560200517</v>
      </c>
      <c r="Y30" s="64"/>
      <c r="Z30" s="64"/>
      <c r="AA30" s="64"/>
      <c r="AB30" s="64"/>
      <c r="AC30" s="64"/>
      <c r="AD30" s="64"/>
      <c r="AE30" s="64"/>
      <c r="AF30" s="64"/>
      <c r="AG30" s="64"/>
    </row>
    <row r="31" spans="1:33">
      <c r="A31" s="108">
        <f t="shared" si="9"/>
        <v>2043</v>
      </c>
      <c r="B31" s="109">
        <f>Production!X51</f>
        <v>24.856133957635326</v>
      </c>
      <c r="C31" s="109">
        <f>'Selected Economics'!D31/'Selected Economics'!E31*Input!$B$31/1000*'Sensitivity Ranges'!$F$42</f>
        <v>6.3170659134510192</v>
      </c>
      <c r="D31" s="109">
        <f t="shared" si="3"/>
        <v>157.01783656395048</v>
      </c>
      <c r="E31" s="109">
        <f>Production!Y51</f>
        <v>7.7936017175039414</v>
      </c>
      <c r="F31" s="109">
        <f>'Selected Economics'!C31/'Selected Economics'!E31*'Sensitivity Ranges'!$F$47</f>
        <v>192.85448815095197</v>
      </c>
      <c r="G31" s="109"/>
      <c r="H31" s="109">
        <f t="shared" si="4"/>
        <v>1503.0310700816028</v>
      </c>
      <c r="I31" s="109">
        <f>Production!Z51</f>
        <v>0</v>
      </c>
      <c r="J31" s="109">
        <f>'Selected Economics'!B31/'Selected Economics'!E31*'Sensitivity Ranges'!$F$47</f>
        <v>154.28359052076158</v>
      </c>
      <c r="K31" s="109">
        <f t="shared" si="5"/>
        <v>0</v>
      </c>
      <c r="L31" s="109">
        <f t="shared" si="6"/>
        <v>1660.0489066455534</v>
      </c>
      <c r="M31" s="105"/>
      <c r="N31" s="109">
        <f>D31*Abandonment!H36</f>
        <v>157.01783656395048</v>
      </c>
      <c r="O31" s="109">
        <f>H31*Abandonment!H36</f>
        <v>1503.0310700816028</v>
      </c>
      <c r="P31" s="109">
        <f>K31*Abandonment!H36</f>
        <v>0</v>
      </c>
      <c r="Q31" s="109">
        <f t="shared" si="10"/>
        <v>1660.0489066455534</v>
      </c>
      <c r="R31" s="105"/>
      <c r="S31" s="109">
        <f t="shared" ca="1" si="7"/>
        <v>157.01783656395048</v>
      </c>
      <c r="T31" s="109">
        <f t="shared" ca="1" si="2"/>
        <v>1503.0310700816028</v>
      </c>
      <c r="U31" s="109">
        <f t="shared" ca="1" si="2"/>
        <v>0</v>
      </c>
      <c r="V31" s="109">
        <f t="shared" ca="1" si="8"/>
        <v>1660.0489066455534</v>
      </c>
      <c r="W31" s="105"/>
      <c r="X31" s="109">
        <f>L31*Abandonment!H36</f>
        <v>1660.0489066455534</v>
      </c>
      <c r="Y31" s="64"/>
      <c r="Z31" s="64"/>
      <c r="AA31" s="64"/>
      <c r="AB31" s="64"/>
      <c r="AC31" s="64"/>
      <c r="AD31" s="64"/>
      <c r="AE31" s="64"/>
      <c r="AF31" s="64"/>
      <c r="AG31" s="64"/>
    </row>
    <row r="32" spans="1:33">
      <c r="A32" s="108">
        <f t="shared" si="9"/>
        <v>2044</v>
      </c>
      <c r="B32" s="109">
        <f>Production!X52</f>
        <v>21.181009859517069</v>
      </c>
      <c r="C32" s="109">
        <f>'Selected Economics'!D32/'Selected Economics'!E32*Input!$B$31/1000*'Sensitivity Ranges'!$F$42</f>
        <v>6.5065778908545502</v>
      </c>
      <c r="D32" s="109">
        <f t="shared" si="3"/>
        <v>137.81589045790599</v>
      </c>
      <c r="E32" s="109">
        <f>Production!Y52</f>
        <v>6.6412723354708145</v>
      </c>
      <c r="F32" s="109">
        <f>'Selected Economics'!C32/'Selected Economics'!E32*'Sensitivity Ranges'!$F$47</f>
        <v>198.64012279548049</v>
      </c>
      <c r="G32" s="109"/>
      <c r="H32" s="109">
        <f t="shared" si="4"/>
        <v>1319.2231522361501</v>
      </c>
      <c r="I32" s="109">
        <f>Production!Z52</f>
        <v>0</v>
      </c>
      <c r="J32" s="109">
        <f>'Selected Economics'!B32/'Selected Economics'!E32*'Sensitivity Ranges'!$F$47</f>
        <v>158.9120982363844</v>
      </c>
      <c r="K32" s="109">
        <f t="shared" si="5"/>
        <v>0</v>
      </c>
      <c r="L32" s="109">
        <f t="shared" si="6"/>
        <v>1457.0390426940562</v>
      </c>
      <c r="M32" s="105"/>
      <c r="N32" s="109">
        <f>D32*Abandonment!H37</f>
        <v>137.81589045790599</v>
      </c>
      <c r="O32" s="109">
        <f>H32*Abandonment!H37</f>
        <v>1319.2231522361501</v>
      </c>
      <c r="P32" s="109">
        <f>K32*Abandonment!H37</f>
        <v>0</v>
      </c>
      <c r="Q32" s="109">
        <f t="shared" si="10"/>
        <v>1457.0390426940562</v>
      </c>
      <c r="R32" s="105"/>
      <c r="S32" s="109">
        <f t="shared" ca="1" si="7"/>
        <v>137.81589045790599</v>
      </c>
      <c r="T32" s="109">
        <f t="shared" ca="1" si="2"/>
        <v>1319.2231522361501</v>
      </c>
      <c r="U32" s="109">
        <f t="shared" ca="1" si="2"/>
        <v>0</v>
      </c>
      <c r="V32" s="109">
        <f t="shared" ca="1" si="8"/>
        <v>1457.0390426940562</v>
      </c>
      <c r="W32" s="105"/>
      <c r="X32" s="109">
        <f>L32*Abandonment!H37</f>
        <v>1457.0390426940562</v>
      </c>
      <c r="Y32" s="64"/>
      <c r="Z32" s="64"/>
      <c r="AA32" s="64"/>
      <c r="AB32" s="64"/>
      <c r="AC32" s="64"/>
      <c r="AD32" s="64"/>
      <c r="AE32" s="64"/>
      <c r="AF32" s="64"/>
      <c r="AG32" s="64"/>
    </row>
    <row r="33" spans="1:33">
      <c r="A33" s="108">
        <f t="shared" si="9"/>
        <v>2045</v>
      </c>
      <c r="B33" s="109">
        <f>Production!X53</f>
        <v>17.950562385062501</v>
      </c>
      <c r="C33" s="109">
        <f>'Selected Economics'!D33/'Selected Economics'!E33*Input!$B$31/1000*'Sensitivity Ranges'!$F$42</f>
        <v>6.7017752275801872</v>
      </c>
      <c r="D33" s="109">
        <f t="shared" si="3"/>
        <v>120.30063431334459</v>
      </c>
      <c r="E33" s="109">
        <f>Production!Y53</f>
        <v>5.6283706095577406</v>
      </c>
      <c r="F33" s="109">
        <f>'Selected Economics'!C33/'Selected Economics'!E33*'Sensitivity Ranges'!$F$47</f>
        <v>204.59932647934491</v>
      </c>
      <c r="G33" s="109"/>
      <c r="H33" s="109">
        <f t="shared" si="4"/>
        <v>1151.5608358916536</v>
      </c>
      <c r="I33" s="109">
        <f>Production!Z53</f>
        <v>0</v>
      </c>
      <c r="J33" s="109">
        <f>'Selected Economics'!B33/'Selected Economics'!E33*'Sensitivity Ranges'!$F$47</f>
        <v>163.67946118347595</v>
      </c>
      <c r="K33" s="109">
        <f t="shared" si="5"/>
        <v>0</v>
      </c>
      <c r="L33" s="109">
        <f t="shared" si="6"/>
        <v>1271.8614702049981</v>
      </c>
      <c r="M33" s="105"/>
      <c r="N33" s="109">
        <f>D33*Abandonment!H38</f>
        <v>120.30063431334459</v>
      </c>
      <c r="O33" s="109">
        <f>H33*Abandonment!H38</f>
        <v>1151.5608358916536</v>
      </c>
      <c r="P33" s="109">
        <f>K33*Abandonment!H38</f>
        <v>0</v>
      </c>
      <c r="Q33" s="109">
        <f t="shared" si="10"/>
        <v>1271.8614702049981</v>
      </c>
      <c r="R33" s="105"/>
      <c r="S33" s="109">
        <f t="shared" ca="1" si="7"/>
        <v>120.30063431334459</v>
      </c>
      <c r="T33" s="109">
        <f t="shared" ca="1" si="2"/>
        <v>1151.5608358916536</v>
      </c>
      <c r="U33" s="109">
        <f t="shared" ca="1" si="2"/>
        <v>0</v>
      </c>
      <c r="V33" s="109">
        <f t="shared" ca="1" si="8"/>
        <v>1271.8614702049981</v>
      </c>
      <c r="W33" s="105"/>
      <c r="X33" s="109">
        <f>L33*Abandonment!H38</f>
        <v>1271.8614702049981</v>
      </c>
      <c r="Y33" s="64"/>
      <c r="Z33" s="64"/>
      <c r="AA33" s="64"/>
      <c r="AB33" s="64"/>
      <c r="AC33" s="64"/>
      <c r="AD33" s="64"/>
      <c r="AE33" s="64"/>
      <c r="AF33" s="64"/>
      <c r="AG33" s="64"/>
    </row>
    <row r="34" spans="1:33">
      <c r="A34" s="108">
        <f t="shared" si="9"/>
        <v>2046</v>
      </c>
      <c r="B34" s="109">
        <f>Production!X54</f>
        <v>15.257978027303089</v>
      </c>
      <c r="C34" s="109">
        <f>'Selected Economics'!D34/'Selected Economics'!E34*Input!$B$31/1000*'Sensitivity Ranges'!$F$42</f>
        <v>6.9028284844075944</v>
      </c>
      <c r="D34" s="109">
        <f t="shared" si="3"/>
        <v>105.32320534133297</v>
      </c>
      <c r="E34" s="109">
        <f>Production!Y54</f>
        <v>4.7841150181240675</v>
      </c>
      <c r="F34" s="109">
        <f>'Selected Economics'!C34/'Selected Economics'!E34*'Sensitivity Ranges'!$F$47</f>
        <v>210.73730627372532</v>
      </c>
      <c r="G34" s="109"/>
      <c r="H34" s="109">
        <f t="shared" si="4"/>
        <v>1008.1915118231406</v>
      </c>
      <c r="I34" s="109">
        <f>Production!Z54</f>
        <v>0</v>
      </c>
      <c r="J34" s="109">
        <f>'Selected Economics'!B34/'Selected Economics'!E34*'Sensitivity Ranges'!$F$47</f>
        <v>168.58984501898024</v>
      </c>
      <c r="K34" s="109">
        <f t="shared" si="5"/>
        <v>0</v>
      </c>
      <c r="L34" s="109">
        <f t="shared" si="6"/>
        <v>1113.5147171644735</v>
      </c>
      <c r="M34" s="105"/>
      <c r="N34" s="109">
        <f>D34*Abandonment!H39</f>
        <v>105.32320534133297</v>
      </c>
      <c r="O34" s="109">
        <f>H34*Abandonment!H39</f>
        <v>1008.1915118231406</v>
      </c>
      <c r="P34" s="109">
        <f>K34*Abandonment!H39</f>
        <v>0</v>
      </c>
      <c r="Q34" s="109">
        <f t="shared" si="10"/>
        <v>1113.5147171644735</v>
      </c>
      <c r="R34" s="105"/>
      <c r="S34" s="109">
        <f t="shared" ca="1" si="7"/>
        <v>105.32320534133297</v>
      </c>
      <c r="T34" s="109">
        <f t="shared" ca="1" si="2"/>
        <v>1008.1915118231406</v>
      </c>
      <c r="U34" s="109">
        <f t="shared" ca="1" si="2"/>
        <v>0</v>
      </c>
      <c r="V34" s="109">
        <f t="shared" ca="1" si="8"/>
        <v>1113.5147171644735</v>
      </c>
      <c r="W34" s="105"/>
      <c r="X34" s="109">
        <f>L34*Abandonment!H39</f>
        <v>1113.5147171644735</v>
      </c>
      <c r="Y34" s="64"/>
      <c r="Z34" s="64"/>
      <c r="AA34" s="64"/>
      <c r="AB34" s="64"/>
      <c r="AC34" s="64"/>
      <c r="AD34" s="64"/>
      <c r="AE34" s="64"/>
      <c r="AF34" s="64"/>
      <c r="AG34" s="64"/>
    </row>
    <row r="35" spans="1:33">
      <c r="A35" s="108">
        <f t="shared" si="9"/>
        <v>2047</v>
      </c>
      <c r="B35" s="109">
        <f>Production!X55</f>
        <v>12.969281323207612</v>
      </c>
      <c r="C35" s="109">
        <f>'Selected Economics'!D35/'Selected Economics'!E35*Input!$B$31/1000*'Sensitivity Ranges'!$F$42</f>
        <v>7.1099133389398208</v>
      </c>
      <c r="D35" s="109">
        <f t="shared" si="3"/>
        <v>92.210466276336888</v>
      </c>
      <c r="E35" s="109">
        <f>Production!Y55</f>
        <v>4.0664977654054528</v>
      </c>
      <c r="F35" s="109">
        <f>'Selected Economics'!C35/'Selected Economics'!E35*'Sensitivity Ranges'!$F$47</f>
        <v>217.05942546193705</v>
      </c>
      <c r="G35" s="109"/>
      <c r="H35" s="109">
        <f t="shared" si="4"/>
        <v>882.67166860115844</v>
      </c>
      <c r="I35" s="109">
        <f>Production!Z55</f>
        <v>0</v>
      </c>
      <c r="J35" s="109">
        <f>'Selected Economics'!B35/'Selected Economics'!E35*'Sensitivity Ranges'!$F$47</f>
        <v>173.64754036954963</v>
      </c>
      <c r="K35" s="109">
        <f t="shared" si="5"/>
        <v>0</v>
      </c>
      <c r="L35" s="109">
        <f t="shared" si="6"/>
        <v>974.88213487749533</v>
      </c>
      <c r="M35" s="105"/>
      <c r="N35" s="109">
        <f>D35*Abandonment!H40</f>
        <v>92.210466276336888</v>
      </c>
      <c r="O35" s="109">
        <f>H35*Abandonment!H40</f>
        <v>882.67166860115844</v>
      </c>
      <c r="P35" s="109">
        <f>K35*Abandonment!H40</f>
        <v>0</v>
      </c>
      <c r="Q35" s="109">
        <f t="shared" si="10"/>
        <v>974.88213487749533</v>
      </c>
      <c r="R35" s="105"/>
      <c r="S35" s="109">
        <f t="shared" ca="1" si="7"/>
        <v>92.210466276336888</v>
      </c>
      <c r="T35" s="109">
        <f t="shared" ca="1" si="2"/>
        <v>882.67166860115844</v>
      </c>
      <c r="U35" s="109">
        <f t="shared" ca="1" si="2"/>
        <v>0</v>
      </c>
      <c r="V35" s="109">
        <f t="shared" ca="1" si="8"/>
        <v>974.88213487749533</v>
      </c>
      <c r="W35" s="105"/>
      <c r="X35" s="109">
        <f>L35*Abandonment!H40</f>
        <v>974.88213487749533</v>
      </c>
      <c r="Y35" s="64"/>
      <c r="Z35" s="64"/>
      <c r="AA35" s="64"/>
      <c r="AB35" s="64"/>
      <c r="AC35" s="64"/>
      <c r="AD35" s="64"/>
      <c r="AE35" s="64"/>
      <c r="AF35" s="64"/>
      <c r="AG35" s="64"/>
    </row>
    <row r="36" spans="1:33">
      <c r="A36" s="108">
        <f t="shared" si="9"/>
        <v>2048</v>
      </c>
      <c r="B36" s="109">
        <f>Production!X56</f>
        <v>11.051697582814514</v>
      </c>
      <c r="C36" s="109">
        <f>'Selected Economics'!D36/'Selected Economics'!E36*Input!$B$31/1000*'Sensitivity Ranges'!$F$42</f>
        <v>7.3232107391080161</v>
      </c>
      <c r="D36" s="109">
        <f t="shared" si="3"/>
        <v>80.933910423841354</v>
      </c>
      <c r="E36" s="109">
        <f>Production!Y56</f>
        <v>3.4652423989008598</v>
      </c>
      <c r="F36" s="109">
        <f>'Selected Economics'!C36/'Selected Economics'!E36*'Sensitivity Ranges'!$F$47</f>
        <v>223.57120822579517</v>
      </c>
      <c r="G36" s="109"/>
      <c r="H36" s="109">
        <f t="shared" si="4"/>
        <v>774.72842991751816</v>
      </c>
      <c r="I36" s="109">
        <f>Production!Z56</f>
        <v>0</v>
      </c>
      <c r="J36" s="109">
        <f>'Selected Economics'!B36/'Selected Economics'!E36*'Sensitivity Ranges'!$F$47</f>
        <v>178.85696658063614</v>
      </c>
      <c r="K36" s="109">
        <f t="shared" si="5"/>
        <v>0</v>
      </c>
      <c r="L36" s="109">
        <f t="shared" si="6"/>
        <v>855.66234034135948</v>
      </c>
      <c r="M36" s="105"/>
      <c r="N36" s="109">
        <f>D36*Abandonment!H41</f>
        <v>80.933910423841354</v>
      </c>
      <c r="O36" s="109">
        <f>H36*Abandonment!H41</f>
        <v>774.72842991751816</v>
      </c>
      <c r="P36" s="109">
        <f>K36*Abandonment!H41</f>
        <v>0</v>
      </c>
      <c r="Q36" s="109">
        <f t="shared" si="10"/>
        <v>855.66234034135948</v>
      </c>
      <c r="R36" s="105"/>
      <c r="S36" s="109">
        <f t="shared" ca="1" si="7"/>
        <v>80.933910423841354</v>
      </c>
      <c r="T36" s="109">
        <f t="shared" ca="1" si="2"/>
        <v>774.72842991751816</v>
      </c>
      <c r="U36" s="109">
        <f t="shared" ca="1" si="2"/>
        <v>0</v>
      </c>
      <c r="V36" s="109">
        <f t="shared" ca="1" si="8"/>
        <v>855.66234034135948</v>
      </c>
      <c r="W36" s="105"/>
      <c r="X36" s="109">
        <f>L36*Abandonment!H41</f>
        <v>855.66234034135948</v>
      </c>
      <c r="Y36" s="64"/>
      <c r="Z36" s="64"/>
      <c r="AA36" s="64"/>
      <c r="AB36" s="64"/>
      <c r="AC36" s="64"/>
      <c r="AD36" s="64"/>
      <c r="AE36" s="64"/>
      <c r="AF36" s="64"/>
      <c r="AG36" s="64"/>
    </row>
    <row r="37" spans="1:33">
      <c r="A37" s="108">
        <f t="shared" si="9"/>
        <v>2049</v>
      </c>
      <c r="B37" s="109">
        <f>Production!X57</f>
        <v>9.3661344873043006</v>
      </c>
      <c r="C37" s="109">
        <f>'Selected Economics'!D37/'Selected Economics'!E37*Input!$B$31/1000*'Sensitivity Ranges'!$F$42</f>
        <v>7.5429070612812561</v>
      </c>
      <c r="D37" s="109">
        <f t="shared" si="3"/>
        <v>70.647881961197513</v>
      </c>
      <c r="E37" s="109">
        <f>Production!Y57</f>
        <v>2.9367367407595086</v>
      </c>
      <c r="F37" s="109">
        <f>'Selected Economics'!C37/'Selected Economics'!E37*'Sensitivity Ranges'!$F$47</f>
        <v>230.27834447256907</v>
      </c>
      <c r="G37" s="109"/>
      <c r="H37" s="109">
        <f t="shared" si="4"/>
        <v>676.26687481386796</v>
      </c>
      <c r="I37" s="109">
        <f>Production!Z57</f>
        <v>0</v>
      </c>
      <c r="J37" s="109">
        <f>'Selected Economics'!B37/'Selected Economics'!E37*'Sensitivity Ranges'!$F$47</f>
        <v>184.22267557805526</v>
      </c>
      <c r="K37" s="109">
        <f t="shared" si="5"/>
        <v>0</v>
      </c>
      <c r="L37" s="109">
        <f t="shared" si="6"/>
        <v>746.91475677506548</v>
      </c>
      <c r="M37" s="105"/>
      <c r="N37" s="109">
        <f>D37*Abandonment!H42</f>
        <v>70.647881961197513</v>
      </c>
      <c r="O37" s="109">
        <f>H37*Abandonment!H42</f>
        <v>676.26687481386796</v>
      </c>
      <c r="P37" s="109">
        <f>K37*Abandonment!H42</f>
        <v>0</v>
      </c>
      <c r="Q37" s="109">
        <f t="shared" si="10"/>
        <v>746.91475677506548</v>
      </c>
      <c r="R37" s="105"/>
      <c r="S37" s="109">
        <f t="shared" ca="1" si="7"/>
        <v>70.647881961197513</v>
      </c>
      <c r="T37" s="109">
        <f t="shared" ca="1" si="2"/>
        <v>676.26687481386796</v>
      </c>
      <c r="U37" s="109">
        <f t="shared" ca="1" si="2"/>
        <v>0</v>
      </c>
      <c r="V37" s="109">
        <f t="shared" ca="1" si="8"/>
        <v>746.91475677506548</v>
      </c>
      <c r="W37" s="105"/>
      <c r="X37" s="109">
        <f>L37*Abandonment!H42</f>
        <v>746.91475677506548</v>
      </c>
      <c r="Y37" s="64"/>
      <c r="Z37" s="64"/>
      <c r="AA37" s="64"/>
      <c r="AB37" s="64"/>
      <c r="AC37" s="64"/>
      <c r="AD37" s="64"/>
      <c r="AE37" s="64"/>
      <c r="AF37" s="64"/>
      <c r="AG37" s="64"/>
    </row>
    <row r="38" spans="1:33">
      <c r="A38" s="108">
        <f t="shared" si="9"/>
        <v>2050</v>
      </c>
      <c r="B38" s="109">
        <f>Production!X58</f>
        <v>7.9612143142086804</v>
      </c>
      <c r="C38" s="109">
        <f>'Selected Economics'!D38/'Selected Economics'!E38*Input!$B$31/1000*'Sensitivity Ranges'!$F$42</f>
        <v>7.7691942731196937</v>
      </c>
      <c r="D38" s="109">
        <f t="shared" si="3"/>
        <v>61.85222065702861</v>
      </c>
      <c r="E38" s="109">
        <f>Production!Y58</f>
        <v>2.4962262296455897</v>
      </c>
      <c r="F38" s="109">
        <f>'Selected Economics'!C38/'Selected Economics'!E38*'Sensitivity Ranges'!$F$47</f>
        <v>237.18669480674615</v>
      </c>
      <c r="G38" s="109"/>
      <c r="H38" s="109">
        <f t="shared" si="4"/>
        <v>592.07164889954311</v>
      </c>
      <c r="I38" s="109">
        <f>Production!Z58</f>
        <v>0</v>
      </c>
      <c r="J38" s="109">
        <f>'Selected Economics'!B38/'Selected Economics'!E38*'Sensitivity Ranges'!$F$47</f>
        <v>189.74935584539691</v>
      </c>
      <c r="K38" s="109">
        <f t="shared" si="5"/>
        <v>0</v>
      </c>
      <c r="L38" s="109">
        <f t="shared" si="6"/>
        <v>653.92386955657173</v>
      </c>
      <c r="M38" s="105"/>
      <c r="N38" s="109">
        <f>D38*Abandonment!H43</f>
        <v>61.85222065702861</v>
      </c>
      <c r="O38" s="109">
        <f>H38*Abandonment!H43</f>
        <v>592.07164889954311</v>
      </c>
      <c r="P38" s="109">
        <f>K38*Abandonment!H43</f>
        <v>0</v>
      </c>
      <c r="Q38" s="109">
        <f t="shared" si="10"/>
        <v>653.92386955657173</v>
      </c>
      <c r="R38" s="105"/>
      <c r="S38" s="109">
        <f t="shared" ca="1" si="7"/>
        <v>61.85222065702861</v>
      </c>
      <c r="T38" s="109">
        <f t="shared" ca="1" si="2"/>
        <v>592.07164889954311</v>
      </c>
      <c r="U38" s="109">
        <f t="shared" ca="1" si="2"/>
        <v>0</v>
      </c>
      <c r="V38" s="109">
        <f t="shared" ca="1" si="8"/>
        <v>653.92386955657173</v>
      </c>
      <c r="W38" s="105"/>
      <c r="X38" s="109">
        <f>L38*Abandonment!H43</f>
        <v>653.92386955657173</v>
      </c>
      <c r="Y38" s="64"/>
      <c r="Z38" s="64"/>
      <c r="AA38" s="64"/>
      <c r="AB38" s="64"/>
      <c r="AC38" s="64"/>
      <c r="AD38" s="64"/>
      <c r="AE38" s="64"/>
      <c r="AF38" s="64"/>
      <c r="AG38" s="64"/>
    </row>
    <row r="39" spans="1:33">
      <c r="A39" s="108">
        <f t="shared" si="9"/>
        <v>2051</v>
      </c>
      <c r="B39" s="109">
        <f>Production!X59</f>
        <v>6.767032167077371</v>
      </c>
      <c r="C39" s="109">
        <f>'Selected Economics'!D39/'Selected Economics'!E39*Input!$B$31/1000*'Sensitivity Ranges'!$F$42</f>
        <v>8.002270101313286</v>
      </c>
      <c r="D39" s="109">
        <f t="shared" si="3"/>
        <v>54.151619185228498</v>
      </c>
      <c r="E39" s="109">
        <f>Production!Y59</f>
        <v>2.1217922951987491</v>
      </c>
      <c r="F39" s="109">
        <f>'Selected Economics'!C39/'Selected Economics'!E39*'Sensitivity Ranges'!$F$47</f>
        <v>244.30229565094857</v>
      </c>
      <c r="G39" s="109"/>
      <c r="H39" s="109">
        <f t="shared" si="4"/>
        <v>518.35872861154951</v>
      </c>
      <c r="I39" s="109">
        <f>Production!Z59</f>
        <v>0</v>
      </c>
      <c r="J39" s="109">
        <f>'Selected Economics'!B39/'Selected Economics'!E39*'Sensitivity Ranges'!$F$47</f>
        <v>195.44183652075887</v>
      </c>
      <c r="K39" s="109">
        <f t="shared" si="5"/>
        <v>0</v>
      </c>
      <c r="L39" s="109">
        <f t="shared" si="6"/>
        <v>572.51034779677798</v>
      </c>
      <c r="M39" s="105"/>
      <c r="N39" s="109">
        <f>D39*Abandonment!H44</f>
        <v>54.151619185228498</v>
      </c>
      <c r="O39" s="109">
        <f>H39*Abandonment!H44</f>
        <v>518.35872861154951</v>
      </c>
      <c r="P39" s="109">
        <f>K39*Abandonment!H44</f>
        <v>0</v>
      </c>
      <c r="Q39" s="109">
        <f t="shared" si="10"/>
        <v>572.51034779677798</v>
      </c>
      <c r="R39" s="105"/>
      <c r="S39" s="109">
        <f t="shared" ca="1" si="7"/>
        <v>54.151619185228498</v>
      </c>
      <c r="T39" s="109">
        <f t="shared" ca="1" si="2"/>
        <v>518.35872861154951</v>
      </c>
      <c r="U39" s="109">
        <f t="shared" ca="1" si="2"/>
        <v>0</v>
      </c>
      <c r="V39" s="109">
        <f t="shared" ca="1" si="8"/>
        <v>572.51034779677798</v>
      </c>
      <c r="W39" s="105"/>
      <c r="X39" s="109">
        <f>L39*Abandonment!H44</f>
        <v>572.51034779677798</v>
      </c>
      <c r="Y39" s="64"/>
      <c r="Z39" s="64"/>
      <c r="AA39" s="64"/>
      <c r="AB39" s="64"/>
      <c r="AC39" s="64"/>
      <c r="AD39" s="64"/>
      <c r="AE39" s="64"/>
      <c r="AF39" s="64"/>
      <c r="AG39" s="64"/>
    </row>
    <row r="40" spans="1:33">
      <c r="A40" s="108">
        <f t="shared" si="9"/>
        <v>2052</v>
      </c>
      <c r="B40" s="109">
        <f>Production!X60</f>
        <v>5.7664870689396048</v>
      </c>
      <c r="C40" s="109">
        <f>'Selected Economics'!D40/'Selected Economics'!E40*Input!$B$31/1000*'Sensitivity Ranges'!$F$42</f>
        <v>8.2423382043526843</v>
      </c>
      <c r="D40" s="109">
        <f t="shared" si="3"/>
        <v>47.529336673226638</v>
      </c>
      <c r="E40" s="109">
        <f>Production!Y60</f>
        <v>1.8080729529801538</v>
      </c>
      <c r="F40" s="109">
        <f>'Selected Economics'!C40/'Selected Economics'!E40*'Sensitivity Ranges'!$F$47</f>
        <v>251.63136452047701</v>
      </c>
      <c r="G40" s="109"/>
      <c r="H40" s="109">
        <f t="shared" si="4"/>
        <v>454.96786431096439</v>
      </c>
      <c r="I40" s="109">
        <f>Production!Z60</f>
        <v>0</v>
      </c>
      <c r="J40" s="109">
        <f>'Selected Economics'!B40/'Selected Economics'!E40*'Sensitivity Ranges'!$F$47</f>
        <v>201.30509161638162</v>
      </c>
      <c r="K40" s="109">
        <f t="shared" si="5"/>
        <v>0</v>
      </c>
      <c r="L40" s="109">
        <f t="shared" si="6"/>
        <v>502.49720098419101</v>
      </c>
      <c r="M40" s="105"/>
      <c r="N40" s="109">
        <f>D40*Abandonment!H45</f>
        <v>47.529336673226638</v>
      </c>
      <c r="O40" s="109">
        <f>H40*Abandonment!H45</f>
        <v>454.96786431096439</v>
      </c>
      <c r="P40" s="109">
        <f>K40*Abandonment!H45</f>
        <v>0</v>
      </c>
      <c r="Q40" s="109">
        <f t="shared" si="10"/>
        <v>502.49720098419101</v>
      </c>
      <c r="R40" s="105"/>
      <c r="S40" s="109">
        <f t="shared" ca="1" si="7"/>
        <v>47.529336673226638</v>
      </c>
      <c r="T40" s="109">
        <f t="shared" ca="1" si="2"/>
        <v>454.96786431096439</v>
      </c>
      <c r="U40" s="109">
        <f t="shared" ca="1" si="2"/>
        <v>0</v>
      </c>
      <c r="V40" s="109">
        <f t="shared" ca="1" si="8"/>
        <v>502.49720098419101</v>
      </c>
      <c r="W40" s="105"/>
      <c r="X40" s="109">
        <f>L40*Abandonment!H45</f>
        <v>502.49720098419101</v>
      </c>
      <c r="Y40" s="64"/>
      <c r="Z40" s="64"/>
      <c r="AA40" s="64"/>
      <c r="AB40" s="64"/>
      <c r="AC40" s="64"/>
      <c r="AD40" s="64"/>
      <c r="AE40" s="64"/>
      <c r="AF40" s="64"/>
      <c r="AG40" s="64"/>
    </row>
    <row r="41" spans="1:33">
      <c r="A41" s="108">
        <f t="shared" si="9"/>
        <v>2053</v>
      </c>
      <c r="B41" s="109">
        <f>Production!X61</f>
        <v>4.8870042816748276</v>
      </c>
      <c r="C41" s="109">
        <f>'Selected Economics'!D41/'Selected Economics'!E41*Input!$B$31/1000*'Sensitivity Ranges'!$F$42</f>
        <v>8.4896083504832642</v>
      </c>
      <c r="D41" s="109">
        <f t="shared" si="3"/>
        <v>41.488752358554081</v>
      </c>
      <c r="E41" s="109">
        <f>Production!Y61</f>
        <v>1.5323125079719147</v>
      </c>
      <c r="F41" s="109">
        <f>'Selected Economics'!C41/'Selected Economics'!E41*'Sensitivity Ranges'!$F$47</f>
        <v>259.18030545609133</v>
      </c>
      <c r="G41" s="109"/>
      <c r="H41" s="109">
        <f t="shared" si="4"/>
        <v>397.14522387035021</v>
      </c>
      <c r="I41" s="109">
        <f>Production!Z61</f>
        <v>0</v>
      </c>
      <c r="J41" s="109">
        <f>'Selected Economics'!B41/'Selected Economics'!E41*'Sensitivity Ranges'!$F$47</f>
        <v>207.34424436487311</v>
      </c>
      <c r="K41" s="109">
        <f t="shared" si="5"/>
        <v>0</v>
      </c>
      <c r="L41" s="109">
        <f t="shared" si="6"/>
        <v>438.63397622890432</v>
      </c>
      <c r="M41" s="105"/>
      <c r="N41" s="109">
        <f>D41*Abandonment!H46</f>
        <v>41.488752358554081</v>
      </c>
      <c r="O41" s="109">
        <f>H41*Abandonment!H46</f>
        <v>397.14522387035021</v>
      </c>
      <c r="P41" s="109">
        <f>K41*Abandonment!H46</f>
        <v>0</v>
      </c>
      <c r="Q41" s="109">
        <f t="shared" si="10"/>
        <v>438.63397622890432</v>
      </c>
      <c r="R41" s="105"/>
      <c r="S41" s="109">
        <f t="shared" ca="1" si="7"/>
        <v>41.488752358554081</v>
      </c>
      <c r="T41" s="109">
        <f t="shared" ca="1" si="2"/>
        <v>397.14522387035021</v>
      </c>
      <c r="U41" s="109">
        <f t="shared" ca="1" si="2"/>
        <v>0</v>
      </c>
      <c r="V41" s="109">
        <f t="shared" ca="1" si="8"/>
        <v>438.63397622890432</v>
      </c>
      <c r="W41" s="105"/>
      <c r="X41" s="109">
        <f>L41*Abandonment!H46</f>
        <v>438.63397622890432</v>
      </c>
      <c r="Y41" s="64"/>
      <c r="Z41" s="64"/>
      <c r="AA41" s="64"/>
      <c r="AB41" s="64"/>
      <c r="AC41" s="64"/>
      <c r="AD41" s="64"/>
      <c r="AE41" s="64"/>
      <c r="AF41" s="64"/>
      <c r="AG41" s="64"/>
    </row>
    <row r="42" spans="1:33">
      <c r="A42" s="108">
        <f t="shared" si="9"/>
        <v>2054</v>
      </c>
      <c r="B42" s="109">
        <f>Production!X62</f>
        <v>4.1539536394235874</v>
      </c>
      <c r="C42" s="109">
        <f>'Selected Economics'!D42/'Selected Economics'!E42*Input!$B$31/1000*'Sensitivity Ranges'!$F$42</f>
        <v>8.7442966009977621</v>
      </c>
      <c r="D42" s="109">
        <f t="shared" si="3"/>
        <v>36.323402689913962</v>
      </c>
      <c r="E42" s="109">
        <f>Production!Y62</f>
        <v>1.3024656317761225</v>
      </c>
      <c r="F42" s="109">
        <f>'Selected Economics'!C42/'Selected Economics'!E42*'Sensitivity Ranges'!$F$47</f>
        <v>266.95571461977408</v>
      </c>
      <c r="G42" s="109"/>
      <c r="H42" s="109">
        <f t="shared" si="4"/>
        <v>347.70064349849031</v>
      </c>
      <c r="I42" s="109">
        <f>Production!Z62</f>
        <v>0</v>
      </c>
      <c r="J42" s="109">
        <f>'Selected Economics'!B42/'Selected Economics'!E42*'Sensitivity Ranges'!$F$47</f>
        <v>213.56457169581927</v>
      </c>
      <c r="K42" s="109">
        <f t="shared" si="5"/>
        <v>0</v>
      </c>
      <c r="L42" s="109">
        <f t="shared" si="6"/>
        <v>384.02404618840427</v>
      </c>
      <c r="M42" s="105"/>
      <c r="N42" s="109">
        <f>D42*Abandonment!H47</f>
        <v>36.323402689913962</v>
      </c>
      <c r="O42" s="109">
        <f>H42*Abandonment!H47</f>
        <v>347.70064349849031</v>
      </c>
      <c r="P42" s="109">
        <f>K42*Abandonment!H47</f>
        <v>0</v>
      </c>
      <c r="Q42" s="109">
        <f t="shared" si="10"/>
        <v>384.02404618840427</v>
      </c>
      <c r="R42" s="105"/>
      <c r="S42" s="109">
        <f t="shared" ca="1" si="7"/>
        <v>36.323402689913962</v>
      </c>
      <c r="T42" s="109">
        <f t="shared" ca="1" si="2"/>
        <v>347.70064349849031</v>
      </c>
      <c r="U42" s="109">
        <f t="shared" ca="1" si="2"/>
        <v>0</v>
      </c>
      <c r="V42" s="109">
        <f t="shared" ca="1" si="8"/>
        <v>384.02404618840427</v>
      </c>
      <c r="W42" s="105"/>
      <c r="X42" s="109">
        <f>L42*Abandonment!H47</f>
        <v>384.02404618840427</v>
      </c>
      <c r="Y42" s="64"/>
      <c r="Z42" s="64"/>
      <c r="AA42" s="64"/>
      <c r="AB42" s="64"/>
      <c r="AC42" s="64"/>
      <c r="AD42" s="64"/>
      <c r="AE42" s="64"/>
      <c r="AF42" s="64"/>
      <c r="AG42" s="64"/>
    </row>
    <row r="43" spans="1:33">
      <c r="A43" s="108">
        <f t="shared" si="9"/>
        <v>2055</v>
      </c>
      <c r="B43" s="109">
        <f>Production!X63</f>
        <v>3.530860593510063</v>
      </c>
      <c r="C43" s="109">
        <f>'Selected Economics'!D43/'Selected Economics'!E43*Input!$B$31/1000*'Sensitivity Ranges'!$F$42</f>
        <v>9.0066254990276953</v>
      </c>
      <c r="D43" s="109">
        <f t="shared" si="3"/>
        <v>31.801139055019796</v>
      </c>
      <c r="E43" s="109">
        <f>Production!Y63</f>
        <v>1.1070957870097082</v>
      </c>
      <c r="F43" s="109">
        <f>'Selected Economics'!C43/'Selected Economics'!E43*'Sensitivity Ranges'!$F$47</f>
        <v>274.96438605836727</v>
      </c>
      <c r="G43" s="109"/>
      <c r="H43" s="109">
        <f t="shared" si="4"/>
        <v>304.41191338292936</v>
      </c>
      <c r="I43" s="109">
        <f>Production!Z63</f>
        <v>0</v>
      </c>
      <c r="J43" s="109">
        <f>'Selected Economics'!B43/'Selected Economics'!E43*'Sensitivity Ranges'!$F$47</f>
        <v>219.97150884669384</v>
      </c>
      <c r="K43" s="109">
        <f t="shared" si="5"/>
        <v>0</v>
      </c>
      <c r="L43" s="109">
        <f t="shared" si="6"/>
        <v>336.21305243794916</v>
      </c>
      <c r="M43" s="105"/>
      <c r="N43" s="109">
        <f>D43*Abandonment!H48</f>
        <v>0</v>
      </c>
      <c r="O43" s="109">
        <f>H43*Abandonment!H48</f>
        <v>0</v>
      </c>
      <c r="P43" s="109">
        <f>K43*Abandonment!H48</f>
        <v>0</v>
      </c>
      <c r="Q43" s="109">
        <f t="shared" si="10"/>
        <v>0</v>
      </c>
      <c r="R43" s="105"/>
      <c r="S43" s="109">
        <f t="shared" ca="1" si="7"/>
        <v>0</v>
      </c>
      <c r="T43" s="109">
        <f t="shared" ca="1" si="2"/>
        <v>0</v>
      </c>
      <c r="U43" s="109">
        <f t="shared" ca="1" si="2"/>
        <v>0</v>
      </c>
      <c r="V43" s="109">
        <f t="shared" ca="1" si="8"/>
        <v>0</v>
      </c>
      <c r="W43" s="105"/>
      <c r="X43" s="109">
        <f>L43*Abandonment!H48</f>
        <v>0</v>
      </c>
      <c r="Y43" s="64"/>
      <c r="Z43" s="64"/>
      <c r="AA43" s="64"/>
      <c r="AB43" s="64"/>
      <c r="AC43" s="64"/>
      <c r="AD43" s="64"/>
      <c r="AE43" s="64"/>
      <c r="AF43" s="64"/>
      <c r="AG43" s="64"/>
    </row>
    <row r="44" spans="1:33">
      <c r="A44" s="108">
        <f t="shared" si="9"/>
        <v>2056</v>
      </c>
      <c r="B44" s="109">
        <f>Production!X64</f>
        <v>3.0088023009203142</v>
      </c>
      <c r="C44" s="109">
        <f>'Selected Economics'!D44/'Selected Economics'!E44*Input!$B$31/1000*'Sensitivity Ranges'!$F$42</f>
        <v>9.2768242639985274</v>
      </c>
      <c r="D44" s="109">
        <f t="shared" si="3"/>
        <v>27.912130190752169</v>
      </c>
      <c r="E44" s="109">
        <f>Production!Y64</f>
        <v>0.94340523027633472</v>
      </c>
      <c r="F44" s="109">
        <f>'Selected Economics'!C44/'Selected Economics'!E44*'Sensitivity Ranges'!$F$47</f>
        <v>283.21331764011831</v>
      </c>
      <c r="G44" s="109"/>
      <c r="H44" s="109">
        <f t="shared" si="4"/>
        <v>267.18492514560052</v>
      </c>
      <c r="I44" s="109">
        <f>Production!Z64</f>
        <v>0</v>
      </c>
      <c r="J44" s="109">
        <f>'Selected Economics'!B44/'Selected Economics'!E44*'Sensitivity Ranges'!$F$47</f>
        <v>226.57065411209464</v>
      </c>
      <c r="K44" s="109">
        <f t="shared" si="5"/>
        <v>0</v>
      </c>
      <c r="L44" s="109">
        <f t="shared" si="6"/>
        <v>295.0970553363527</v>
      </c>
      <c r="M44" s="105"/>
      <c r="N44" s="109">
        <f>D44*Abandonment!H49</f>
        <v>0</v>
      </c>
      <c r="O44" s="109">
        <f>H44*Abandonment!H49</f>
        <v>0</v>
      </c>
      <c r="P44" s="109">
        <f>K44*Abandonment!H49</f>
        <v>0</v>
      </c>
      <c r="Q44" s="109">
        <f t="shared" si="10"/>
        <v>0</v>
      </c>
      <c r="R44" s="105"/>
      <c r="S44" s="109">
        <f t="shared" ca="1" si="7"/>
        <v>0</v>
      </c>
      <c r="T44" s="109">
        <f t="shared" ca="1" si="2"/>
        <v>0</v>
      </c>
      <c r="U44" s="109">
        <f t="shared" ca="1" si="2"/>
        <v>0</v>
      </c>
      <c r="V44" s="109">
        <f t="shared" ca="1" si="8"/>
        <v>0</v>
      </c>
      <c r="W44" s="105"/>
      <c r="X44" s="109">
        <f>L44*Abandonment!H49</f>
        <v>0</v>
      </c>
      <c r="Y44" s="64"/>
      <c r="Z44" s="64"/>
      <c r="AA44" s="64"/>
      <c r="AB44" s="64"/>
      <c r="AC44" s="64"/>
      <c r="AD44" s="64"/>
      <c r="AE44" s="64"/>
      <c r="AF44" s="64"/>
      <c r="AG44" s="64"/>
    </row>
    <row r="45" spans="1:33">
      <c r="A45" s="108">
        <f t="shared" si="9"/>
        <v>2057</v>
      </c>
      <c r="B45" s="109">
        <f>Production!X65</f>
        <v>2.5499111593455042</v>
      </c>
      <c r="C45" s="109">
        <f>'Selected Economics'!D45/'Selected Economics'!E45*Input!$B$31/1000*'Sensitivity Ranges'!$F$42</f>
        <v>9.5551289919184832</v>
      </c>
      <c r="D45" s="109">
        <f t="shared" si="3"/>
        <v>24.364730045478698</v>
      </c>
      <c r="E45" s="109">
        <f>Production!Y65</f>
        <v>0.79952063441680121</v>
      </c>
      <c r="F45" s="109">
        <f>'Selected Economics'!C45/'Selected Economics'!E45*'Sensitivity Ranges'!$F$47</f>
        <v>291.70971716932183</v>
      </c>
      <c r="G45" s="109"/>
      <c r="H45" s="109">
        <f t="shared" si="4"/>
        <v>233.22793813676185</v>
      </c>
      <c r="I45" s="109">
        <f>Production!Z65</f>
        <v>0</v>
      </c>
      <c r="J45" s="109">
        <f>'Selected Economics'!B45/'Selected Economics'!E45*'Sensitivity Ranges'!$F$47</f>
        <v>233.36777373545749</v>
      </c>
      <c r="K45" s="109">
        <f t="shared" si="5"/>
        <v>0</v>
      </c>
      <c r="L45" s="109">
        <f t="shared" si="6"/>
        <v>257.59266818224057</v>
      </c>
      <c r="M45" s="105"/>
      <c r="N45" s="109">
        <f>D45*Abandonment!H50</f>
        <v>0</v>
      </c>
      <c r="O45" s="109">
        <f>H45*Abandonment!H50</f>
        <v>0</v>
      </c>
      <c r="P45" s="109">
        <f>K45*Abandonment!H50</f>
        <v>0</v>
      </c>
      <c r="Q45" s="109">
        <f t="shared" si="10"/>
        <v>0</v>
      </c>
      <c r="R45" s="105"/>
      <c r="S45" s="109">
        <f t="shared" ca="1" si="7"/>
        <v>0</v>
      </c>
      <c r="T45" s="109">
        <f t="shared" ca="1" si="2"/>
        <v>0</v>
      </c>
      <c r="U45" s="109">
        <f t="shared" ca="1" si="2"/>
        <v>0</v>
      </c>
      <c r="V45" s="109">
        <f t="shared" ca="1" si="8"/>
        <v>0</v>
      </c>
      <c r="W45" s="105"/>
      <c r="X45" s="109">
        <f>L45*Abandonment!H50</f>
        <v>0</v>
      </c>
      <c r="Y45" s="64"/>
      <c r="Z45" s="64"/>
      <c r="AA45" s="64"/>
      <c r="AB45" s="64"/>
      <c r="AC45" s="64"/>
      <c r="AD45" s="64"/>
      <c r="AE45" s="64"/>
      <c r="AF45" s="64"/>
      <c r="AG45" s="64"/>
    </row>
    <row r="46" spans="1:33">
      <c r="A46" s="108">
        <f t="shared" si="9"/>
        <v>2058</v>
      </c>
      <c r="B46" s="109">
        <f>Production!X66</f>
        <v>0.28660609470675613</v>
      </c>
      <c r="C46" s="109">
        <f>'Selected Economics'!D46/'Selected Economics'!E46*Input!$B$31/1000*'Sensitivity Ranges'!$F$42</f>
        <v>9.8417828616760357</v>
      </c>
      <c r="D46" s="109">
        <f t="shared" si="3"/>
        <v>2.8207149509368512</v>
      </c>
      <c r="E46" s="109">
        <f>Production!Y66</f>
        <v>8.9864890322878407E-2</v>
      </c>
      <c r="F46" s="109">
        <f>'Selected Economics'!C46/'Selected Economics'!E46*'Sensitivity Ranges'!$F$47</f>
        <v>300.46100868440152</v>
      </c>
      <c r="G46" s="109"/>
      <c r="H46" s="109">
        <f t="shared" si="4"/>
        <v>27.000895591725158</v>
      </c>
      <c r="I46" s="109">
        <f>Production!Z66</f>
        <v>0</v>
      </c>
      <c r="J46" s="109">
        <f>'Selected Economics'!B46/'Selected Economics'!E46*'Sensitivity Ranges'!$F$47</f>
        <v>240.36880694752122</v>
      </c>
      <c r="K46" s="109">
        <f t="shared" si="5"/>
        <v>0</v>
      </c>
      <c r="L46" s="109">
        <f t="shared" si="6"/>
        <v>29.821610542662008</v>
      </c>
      <c r="M46" s="105"/>
      <c r="N46" s="109">
        <f>D46*Abandonment!H51</f>
        <v>0</v>
      </c>
      <c r="O46" s="109">
        <f>H46*Abandonment!H51</f>
        <v>0</v>
      </c>
      <c r="P46" s="109">
        <f>K46*Abandonment!H51</f>
        <v>0</v>
      </c>
      <c r="Q46" s="109">
        <f t="shared" si="10"/>
        <v>0</v>
      </c>
      <c r="R46" s="105"/>
      <c r="S46" s="109">
        <f t="shared" ca="1" si="7"/>
        <v>0</v>
      </c>
      <c r="T46" s="109">
        <f t="shared" ca="1" si="2"/>
        <v>0</v>
      </c>
      <c r="U46" s="109">
        <f t="shared" ca="1" si="2"/>
        <v>0</v>
      </c>
      <c r="V46" s="109">
        <f t="shared" ca="1" si="8"/>
        <v>0</v>
      </c>
      <c r="W46" s="105"/>
      <c r="X46" s="109">
        <f>L46*Abandonment!H51</f>
        <v>0</v>
      </c>
      <c r="Y46" s="64"/>
      <c r="Z46" s="64"/>
      <c r="AA46" s="64"/>
      <c r="AB46" s="64"/>
      <c r="AC46" s="64"/>
      <c r="AD46" s="64"/>
      <c r="AE46" s="64"/>
      <c r="AF46" s="64"/>
      <c r="AG46" s="64"/>
    </row>
    <row r="47" spans="1:33">
      <c r="A47" s="108">
        <f t="shared" si="9"/>
        <v>2059</v>
      </c>
      <c r="B47" s="109">
        <f>Production!X67</f>
        <v>0</v>
      </c>
      <c r="C47" s="109">
        <f>'Selected Economics'!D47/'Selected Economics'!E47*Input!$B$31/1000*'Sensitivity Ranges'!$F$42</f>
        <v>10.137036347526319</v>
      </c>
      <c r="D47" s="109">
        <f t="shared" si="3"/>
        <v>0</v>
      </c>
      <c r="E47" s="109">
        <f>Production!Y67</f>
        <v>0</v>
      </c>
      <c r="F47" s="109">
        <f>'Selected Economics'!C47/'Selected Economics'!E47*'Sensitivity Ranges'!$F$47</f>
        <v>309.47483894493354</v>
      </c>
      <c r="G47" s="109"/>
      <c r="H47" s="109">
        <f t="shared" si="4"/>
        <v>0</v>
      </c>
      <c r="I47" s="109">
        <f>Production!Z67</f>
        <v>0</v>
      </c>
      <c r="J47" s="109">
        <f>'Selected Economics'!B47/'Selected Economics'!E47*'Sensitivity Ranges'!$F$47</f>
        <v>247.57987115594685</v>
      </c>
      <c r="K47" s="109">
        <f t="shared" si="5"/>
        <v>0</v>
      </c>
      <c r="L47" s="109">
        <f t="shared" si="6"/>
        <v>0</v>
      </c>
      <c r="M47" s="105"/>
      <c r="N47" s="109">
        <f>D47*Abandonment!H52</f>
        <v>0</v>
      </c>
      <c r="O47" s="109">
        <f>H47*Abandonment!H52</f>
        <v>0</v>
      </c>
      <c r="P47" s="109">
        <f>K47*Abandonment!H52</f>
        <v>0</v>
      </c>
      <c r="Q47" s="109">
        <f t="shared" si="10"/>
        <v>0</v>
      </c>
      <c r="R47" s="105"/>
      <c r="S47" s="109">
        <f t="shared" ca="1" si="7"/>
        <v>0</v>
      </c>
      <c r="T47" s="109">
        <f t="shared" ca="1" si="2"/>
        <v>0</v>
      </c>
      <c r="U47" s="109">
        <f t="shared" ca="1" si="2"/>
        <v>0</v>
      </c>
      <c r="V47" s="109">
        <f t="shared" ca="1" si="8"/>
        <v>0</v>
      </c>
      <c r="W47" s="105"/>
      <c r="X47" s="109">
        <f>L47*Abandonment!H52</f>
        <v>0</v>
      </c>
      <c r="Y47" s="64"/>
      <c r="Z47" s="64"/>
      <c r="AA47" s="64"/>
      <c r="AB47" s="64"/>
      <c r="AC47" s="64"/>
      <c r="AD47" s="64"/>
      <c r="AE47" s="64"/>
      <c r="AF47" s="64"/>
      <c r="AG47" s="64"/>
    </row>
    <row r="48" spans="1:33">
      <c r="A48" s="108">
        <f t="shared" si="9"/>
        <v>2060</v>
      </c>
      <c r="B48" s="109">
        <f>Production!X68</f>
        <v>0</v>
      </c>
      <c r="C48" s="109">
        <f>'Selected Economics'!D48/'Selected Economics'!E48*Input!$B$31/1000*'Sensitivity Ranges'!$F$42</f>
        <v>10.441147437952109</v>
      </c>
      <c r="D48" s="109">
        <f t="shared" si="3"/>
        <v>0</v>
      </c>
      <c r="E48" s="109">
        <f>Production!Y68</f>
        <v>0</v>
      </c>
      <c r="F48" s="109">
        <f>'Selected Economics'!C48/'Selected Economics'!E48*'Sensitivity Ranges'!$F$47</f>
        <v>318.75908411328157</v>
      </c>
      <c r="G48" s="109"/>
      <c r="H48" s="109">
        <f t="shared" si="4"/>
        <v>0</v>
      </c>
      <c r="I48" s="109">
        <f>Production!Z68</f>
        <v>0</v>
      </c>
      <c r="J48" s="109">
        <f>'Selected Economics'!B48/'Selected Economics'!E48*'Sensitivity Ranges'!$F$47</f>
        <v>255.00726729062526</v>
      </c>
      <c r="K48" s="109">
        <f t="shared" si="5"/>
        <v>0</v>
      </c>
      <c r="L48" s="109">
        <f t="shared" si="6"/>
        <v>0</v>
      </c>
      <c r="M48" s="105"/>
      <c r="N48" s="109">
        <f>D48*Abandonment!H53</f>
        <v>0</v>
      </c>
      <c r="O48" s="109">
        <f>H48*Abandonment!H53</f>
        <v>0</v>
      </c>
      <c r="P48" s="109">
        <f>K48*Abandonment!H53</f>
        <v>0</v>
      </c>
      <c r="Q48" s="109">
        <f t="shared" si="10"/>
        <v>0</v>
      </c>
      <c r="R48" s="105"/>
      <c r="S48" s="109">
        <f t="shared" ca="1" si="7"/>
        <v>0</v>
      </c>
      <c r="T48" s="109">
        <f t="shared" ca="1" si="2"/>
        <v>0</v>
      </c>
      <c r="U48" s="109">
        <f t="shared" ca="1" si="2"/>
        <v>0</v>
      </c>
      <c r="V48" s="109">
        <f t="shared" ca="1" si="8"/>
        <v>0</v>
      </c>
      <c r="W48" s="105"/>
      <c r="X48" s="109">
        <f>L48*Abandonment!H53</f>
        <v>0</v>
      </c>
      <c r="Y48" s="64"/>
      <c r="Z48" s="64"/>
      <c r="AA48" s="64"/>
      <c r="AB48" s="64"/>
      <c r="AC48" s="64"/>
      <c r="AD48" s="64"/>
      <c r="AE48" s="64"/>
      <c r="AF48" s="64"/>
      <c r="AG48" s="64"/>
    </row>
    <row r="49" spans="1:33">
      <c r="A49" s="108">
        <f t="shared" si="9"/>
        <v>2061</v>
      </c>
      <c r="B49" s="109">
        <f>Production!X69</f>
        <v>0</v>
      </c>
      <c r="C49" s="109">
        <f>'Selected Economics'!D49/'Selected Economics'!E49*Input!$B$31/1000*'Sensitivity Ranges'!$F$42</f>
        <v>10.754381861090673</v>
      </c>
      <c r="D49" s="109">
        <f t="shared" si="3"/>
        <v>0</v>
      </c>
      <c r="E49" s="109">
        <f>Production!Y69</f>
        <v>0</v>
      </c>
      <c r="F49" s="109">
        <f>'Selected Economics'!C49/'Selected Economics'!E49*'Sensitivity Ranges'!$F$47</f>
        <v>328.32185663668002</v>
      </c>
      <c r="G49" s="109"/>
      <c r="H49" s="109">
        <f t="shared" si="4"/>
        <v>0</v>
      </c>
      <c r="I49" s="109">
        <f>Production!Z69</f>
        <v>0</v>
      </c>
      <c r="J49" s="109">
        <f>'Selected Economics'!B49/'Selected Economics'!E49*'Sensitivity Ranges'!$F$47</f>
        <v>262.65748530934405</v>
      </c>
      <c r="K49" s="109">
        <f t="shared" si="5"/>
        <v>0</v>
      </c>
      <c r="L49" s="109">
        <f t="shared" si="6"/>
        <v>0</v>
      </c>
      <c r="M49" s="105"/>
      <c r="N49" s="109">
        <f>D49*Abandonment!H54</f>
        <v>0</v>
      </c>
      <c r="O49" s="109">
        <f>H49*Abandonment!H54</f>
        <v>0</v>
      </c>
      <c r="P49" s="109">
        <f>K49*Abandonment!H54</f>
        <v>0</v>
      </c>
      <c r="Q49" s="109">
        <f t="shared" si="10"/>
        <v>0</v>
      </c>
      <c r="R49" s="105"/>
      <c r="S49" s="109">
        <f t="shared" ca="1" si="7"/>
        <v>0</v>
      </c>
      <c r="T49" s="109">
        <f t="shared" ca="1" si="2"/>
        <v>0</v>
      </c>
      <c r="U49" s="109">
        <f t="shared" ca="1" si="2"/>
        <v>0</v>
      </c>
      <c r="V49" s="109">
        <f t="shared" ca="1" si="8"/>
        <v>0</v>
      </c>
      <c r="W49" s="105"/>
      <c r="X49" s="109">
        <f>L49*Abandonment!H54</f>
        <v>0</v>
      </c>
      <c r="Y49" s="64"/>
      <c r="Z49" s="64"/>
      <c r="AA49" s="64"/>
      <c r="AB49" s="64"/>
      <c r="AC49" s="64"/>
      <c r="AD49" s="64"/>
      <c r="AE49" s="64"/>
      <c r="AF49" s="64"/>
      <c r="AG49" s="64"/>
    </row>
    <row r="50" spans="1:33">
      <c r="A50" s="110">
        <f t="shared" si="9"/>
        <v>2062</v>
      </c>
      <c r="B50" s="111">
        <f>Production!X70</f>
        <v>0</v>
      </c>
      <c r="C50" s="111">
        <f>'Selected Economics'!D50/'Selected Economics'!E50*Input!$B$31/1000*'Sensitivity Ranges'!$F$42</f>
        <v>11.077013316923393</v>
      </c>
      <c r="D50" s="111">
        <f t="shared" si="3"/>
        <v>0</v>
      </c>
      <c r="E50" s="111">
        <f>Production!Y70</f>
        <v>0</v>
      </c>
      <c r="F50" s="111">
        <f>'Selected Economics'!C50/'Selected Economics'!E50*'Sensitivity Ranges'!$F$47</f>
        <v>338.17151233578039</v>
      </c>
      <c r="G50" s="111"/>
      <c r="H50" s="111">
        <f t="shared" si="4"/>
        <v>0</v>
      </c>
      <c r="I50" s="111">
        <f>Production!Z70</f>
        <v>0</v>
      </c>
      <c r="J50" s="111">
        <f>'Selected Economics'!B50/'Selected Economics'!E50*'Sensitivity Ranges'!$F$47</f>
        <v>270.5372098686243</v>
      </c>
      <c r="K50" s="111">
        <f t="shared" si="5"/>
        <v>0</v>
      </c>
      <c r="L50" s="111">
        <f t="shared" si="6"/>
        <v>0</v>
      </c>
      <c r="M50" s="105"/>
      <c r="N50" s="111">
        <f>D50*Abandonment!H55</f>
        <v>0</v>
      </c>
      <c r="O50" s="111">
        <f>H50*Abandonment!H55</f>
        <v>0</v>
      </c>
      <c r="P50" s="111">
        <f>K50*Abandonment!H55</f>
        <v>0</v>
      </c>
      <c r="Q50" s="111">
        <f t="shared" si="10"/>
        <v>0</v>
      </c>
      <c r="R50" s="105"/>
      <c r="S50" s="111">
        <f t="shared" ca="1" si="7"/>
        <v>0</v>
      </c>
      <c r="T50" s="111">
        <f t="shared" ca="1" si="2"/>
        <v>0</v>
      </c>
      <c r="U50" s="111">
        <f t="shared" ca="1" si="2"/>
        <v>0</v>
      </c>
      <c r="V50" s="111">
        <f t="shared" ca="1" si="8"/>
        <v>0</v>
      </c>
      <c r="W50" s="105"/>
      <c r="X50" s="111">
        <f>L50*Abandonment!H55</f>
        <v>0</v>
      </c>
      <c r="Y50" s="64"/>
      <c r="Z50" s="64"/>
      <c r="AA50" s="64"/>
      <c r="AB50" s="64"/>
      <c r="AC50" s="64"/>
      <c r="AD50" s="64"/>
      <c r="AE50" s="64"/>
      <c r="AF50" s="64"/>
      <c r="AG50" s="64"/>
    </row>
  </sheetData>
  <sheetProtection algorithmName="SHA-512" hashValue="wGuFih9u/WUTm/J2Uh6OqZQPQtc3HVIuY+rVhghgcnxzfpHQZHI1PPDSY2Y31RMLcwNRRotSn3+cIB9QQ882hA==" saltValue="Jodjujm1EpC7Fp6m4limxQ==" spinCount="100000" sheet="1" objects="1" scenarios="1"/>
  <hyperlinks>
    <hyperlink ref="F1" location="Guide" display="Guide" xr:uid="{00000000-0004-0000-1500-000000000000}"/>
    <hyperlink ref="F2" location="Input" display="Input" xr:uid="{00000000-0004-0000-1500-000001000000}"/>
  </hyperlinks>
  <pageMargins left="0.7" right="0.7" top="0.75" bottom="0.75" header="0.3" footer="0.3"/>
  <pageSetup paperSize="9" scale="28" orientation="landscape" r:id="rId1"/>
  <headerFooter>
    <oddFooter>&amp;LNova Scotia Exploration Economics Model&amp;Rwww.indeva.com</oddFooter>
  </headerFooter>
  <colBreaks count="1" manualBreakCount="1">
    <brk id="26"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theme="3" tint="0.79998168889431442"/>
  </sheetPr>
  <dimension ref="A1:Z55"/>
  <sheetViews>
    <sheetView showGridLines="0" showRowColHeaders="0" showZeros="0" zoomScale="75" zoomScaleNormal="75" workbookViewId="0">
      <pane xSplit="1" ySplit="15" topLeftCell="B16" activePane="bottomRight" state="frozen"/>
      <selection activeCell="D43" sqref="D43"/>
      <selection pane="topRight" activeCell="D43" sqref="D43"/>
      <selection pane="bottomLeft" activeCell="D43" sqref="D43"/>
      <selection pane="bottomRight"/>
    </sheetView>
  </sheetViews>
  <sheetFormatPr defaultRowHeight="15"/>
  <cols>
    <col min="1" max="1" width="13.7109375" customWidth="1"/>
    <col min="2" max="2" width="11.85546875" customWidth="1"/>
    <col min="3" max="3" width="11" customWidth="1"/>
    <col min="4" max="4" width="12.7109375" customWidth="1"/>
    <col min="5" max="6" width="11.140625" customWidth="1"/>
    <col min="10" max="10" width="10.85546875" customWidth="1"/>
    <col min="11" max="11" width="13.28515625" customWidth="1"/>
    <col min="12" max="12" width="12.7109375" bestFit="1" customWidth="1"/>
  </cols>
  <sheetData>
    <row r="1" spans="1:26" ht="18.75">
      <c r="A1" s="92" t="str">
        <f>Input!B10</f>
        <v>Prospect X</v>
      </c>
      <c r="B1" s="92"/>
      <c r="C1" s="92" t="s">
        <v>366</v>
      </c>
      <c r="D1" s="64"/>
      <c r="E1" s="64"/>
      <c r="F1" s="64"/>
      <c r="G1" s="64"/>
      <c r="H1" s="93" t="s">
        <v>756</v>
      </c>
      <c r="I1" s="64"/>
      <c r="J1" s="64"/>
      <c r="K1" s="85" t="s">
        <v>163</v>
      </c>
      <c r="L1" s="100">
        <f>IF(Input!B16=Subsea,0,IF(Input!B16=Fixed_Platform,'Cost Assumptions'!O104+'Cost Assumptions'!O105*Input!B15,IF(Input!B16=Jack_up,'Cost Assumptions'!O106,IF(Input!B16=FPSU,'Cost Assumptions'!O108,IF(Input!B16=Tethered___Semi,'Cost Assumptions'!O107,0)))))</f>
        <v>6855.8399999999983</v>
      </c>
      <c r="M1" s="64"/>
      <c r="N1" s="64"/>
      <c r="O1" s="64"/>
      <c r="P1" s="64"/>
      <c r="Q1" s="64"/>
      <c r="R1" s="64"/>
      <c r="S1" s="64"/>
      <c r="T1" s="64"/>
      <c r="U1" s="64"/>
      <c r="V1" s="64"/>
      <c r="W1" s="64"/>
      <c r="X1" s="64"/>
      <c r="Y1" s="64"/>
      <c r="Z1" s="64"/>
    </row>
    <row r="2" spans="1:26" ht="18.75">
      <c r="A2" s="64"/>
      <c r="B2" s="64"/>
      <c r="C2" s="64"/>
      <c r="D2" s="64"/>
      <c r="E2" s="64"/>
      <c r="F2" s="64"/>
      <c r="G2" s="64"/>
      <c r="H2" s="93" t="s">
        <v>139</v>
      </c>
      <c r="I2" s="64"/>
      <c r="J2" s="64"/>
      <c r="K2" s="85" t="s">
        <v>724</v>
      </c>
      <c r="L2" s="100">
        <f>Development!B28*'Cost Assumptions'!O109</f>
        <v>12340.511999999997</v>
      </c>
      <c r="M2" s="64"/>
      <c r="N2" s="64"/>
      <c r="O2" s="64"/>
      <c r="P2" s="64"/>
      <c r="Q2" s="64"/>
      <c r="R2" s="64"/>
      <c r="S2" s="64"/>
      <c r="T2" s="64"/>
      <c r="U2" s="64"/>
      <c r="V2" s="64"/>
      <c r="W2" s="64"/>
      <c r="X2" s="64"/>
      <c r="Y2" s="64"/>
      <c r="Z2" s="64"/>
    </row>
    <row r="3" spans="1:26">
      <c r="A3" s="85" t="s">
        <v>367</v>
      </c>
      <c r="B3" s="85">
        <f>Development!C6</f>
        <v>2028</v>
      </c>
      <c r="C3" s="64"/>
      <c r="D3" s="64"/>
      <c r="E3" s="64"/>
      <c r="F3" s="64"/>
      <c r="G3" s="64"/>
      <c r="H3" s="64"/>
      <c r="I3" s="64"/>
      <c r="J3" s="64"/>
      <c r="K3" s="85" t="s">
        <v>725</v>
      </c>
      <c r="L3" s="100">
        <f>(Development!B15-Development!B23)*'Cost Assumptions'!O110</f>
        <v>0</v>
      </c>
      <c r="M3" s="64"/>
      <c r="N3" s="64"/>
      <c r="O3" s="64"/>
      <c r="P3" s="64"/>
      <c r="Q3" s="64"/>
      <c r="R3" s="64"/>
      <c r="S3" s="64"/>
      <c r="T3" s="64"/>
      <c r="U3" s="64"/>
      <c r="V3" s="64"/>
      <c r="W3" s="64"/>
      <c r="X3" s="64"/>
      <c r="Y3" s="64"/>
      <c r="Z3" s="64"/>
    </row>
    <row r="4" spans="1:26">
      <c r="A4" s="85" t="s">
        <v>368</v>
      </c>
      <c r="B4" s="85">
        <f>IF(AND(Input!B11=Lists!A13,MAX(Abandonment!F16:F55)&lt;0),Abandonment!B3,INDEX(A16:A55,MATCH(MAX(F16:F55),F16:F55,0),1)+1)</f>
        <v>2055</v>
      </c>
      <c r="C4" s="85" t="str">
        <f>IF(B3&gt;=B4,Lists!A85,Lists!A84)</f>
        <v>Economic</v>
      </c>
      <c r="D4" s="64"/>
      <c r="E4" s="121"/>
      <c r="F4" s="64"/>
      <c r="G4" s="178"/>
      <c r="H4" s="64"/>
      <c r="I4" s="64"/>
      <c r="J4" s="64"/>
      <c r="K4" s="85" t="s">
        <v>726</v>
      </c>
      <c r="L4" s="100">
        <f>Development!B23*'Cost Assumptions'!O111</f>
        <v>100780.84799999997</v>
      </c>
      <c r="M4" s="64"/>
      <c r="N4" s="64"/>
      <c r="O4" s="64"/>
      <c r="P4" s="64"/>
      <c r="Q4" s="64"/>
      <c r="R4" s="64"/>
      <c r="S4" s="64"/>
      <c r="T4" s="64"/>
      <c r="U4" s="64"/>
      <c r="V4" s="64"/>
      <c r="W4" s="64"/>
      <c r="X4" s="64"/>
      <c r="Y4" s="64"/>
      <c r="Z4" s="64"/>
    </row>
    <row r="5" spans="1:26">
      <c r="A5" s="85" t="s">
        <v>369</v>
      </c>
      <c r="B5" s="129">
        <f>IF('Devel Overrides'!Q11=Lists!A38,'Devel Overrides'!Q14,L6/1000)*'Devel Overrides'!Q13</f>
        <v>205.67519999999996</v>
      </c>
      <c r="C5" s="64"/>
      <c r="D5" s="64"/>
      <c r="E5" s="64"/>
      <c r="F5" s="121"/>
      <c r="G5" s="64"/>
      <c r="H5" s="64"/>
      <c r="I5" s="64"/>
      <c r="J5" s="64"/>
      <c r="K5" s="85" t="s">
        <v>165</v>
      </c>
      <c r="L5" s="100">
        <f>IF(Input!B17=Shore,'Cost Assumptions'!O112,IF(OR(Input!B17=Direct_Pipeline_Tie_in,Input!B17=Satellite),'Cost Assumptions'!O113,0))*Input!B19</f>
        <v>85698</v>
      </c>
      <c r="M5" s="64"/>
      <c r="N5" s="64"/>
      <c r="O5" s="64"/>
      <c r="P5" s="64"/>
      <c r="Q5" s="64"/>
      <c r="R5" s="64"/>
      <c r="S5" s="64"/>
      <c r="T5" s="64"/>
      <c r="U5" s="64"/>
      <c r="V5" s="64"/>
      <c r="W5" s="64"/>
      <c r="X5" s="64"/>
      <c r="Y5" s="64"/>
      <c r="Z5" s="64"/>
    </row>
    <row r="6" spans="1:26">
      <c r="A6" s="85" t="s">
        <v>370</v>
      </c>
      <c r="B6" s="129">
        <f>IF(B4=B3,0,B5)</f>
        <v>205.67519999999996</v>
      </c>
      <c r="C6" s="64"/>
      <c r="D6" s="64"/>
      <c r="E6" s="64"/>
      <c r="F6" s="64"/>
      <c r="G6" s="64"/>
      <c r="H6" s="64"/>
      <c r="I6" s="64"/>
      <c r="J6" s="64"/>
      <c r="K6" s="85" t="s">
        <v>13</v>
      </c>
      <c r="L6" s="100">
        <f>SUM(L1:L5)</f>
        <v>205675.19999999995</v>
      </c>
      <c r="M6" s="64"/>
      <c r="N6" s="64"/>
      <c r="O6" s="64"/>
      <c r="P6" s="64"/>
      <c r="Q6" s="64"/>
      <c r="R6" s="64"/>
      <c r="S6" s="64"/>
      <c r="T6" s="64"/>
      <c r="U6" s="64"/>
      <c r="V6" s="64"/>
      <c r="W6" s="64"/>
      <c r="X6" s="64"/>
      <c r="Y6" s="64"/>
      <c r="Z6" s="64"/>
    </row>
    <row r="7" spans="1:26">
      <c r="A7" s="85" t="s">
        <v>371</v>
      </c>
      <c r="B7" s="85">
        <f>B4-Production!B4</f>
        <v>24</v>
      </c>
      <c r="C7" s="64"/>
      <c r="D7" s="64"/>
      <c r="E7" s="64"/>
      <c r="F7" s="121"/>
      <c r="G7" s="64"/>
      <c r="H7" s="64"/>
      <c r="I7" s="64"/>
      <c r="J7" s="64"/>
      <c r="K7" s="64"/>
      <c r="L7" s="64"/>
      <c r="M7" s="64"/>
      <c r="N7" s="64"/>
      <c r="O7" s="64"/>
      <c r="P7" s="64"/>
      <c r="Q7" s="64"/>
      <c r="R7" s="64"/>
      <c r="S7" s="64"/>
      <c r="T7" s="64"/>
      <c r="U7" s="64"/>
      <c r="V7" s="64"/>
      <c r="W7" s="64"/>
      <c r="X7" s="64"/>
      <c r="Y7" s="64"/>
      <c r="Z7" s="64"/>
    </row>
    <row r="8" spans="1:26">
      <c r="A8" s="64"/>
      <c r="B8" s="64"/>
      <c r="C8" s="64"/>
      <c r="D8" s="64"/>
      <c r="E8" s="64"/>
      <c r="F8" s="64"/>
      <c r="G8" s="64"/>
      <c r="H8" s="64"/>
      <c r="I8" s="64"/>
      <c r="J8" s="64"/>
      <c r="K8" s="64"/>
      <c r="L8" s="64"/>
      <c r="M8" s="64"/>
      <c r="N8" s="64"/>
      <c r="O8" s="64"/>
      <c r="P8" s="64"/>
      <c r="Q8" s="64"/>
      <c r="R8" s="64"/>
      <c r="S8" s="64"/>
      <c r="T8" s="64"/>
      <c r="U8" s="64"/>
      <c r="V8" s="64"/>
      <c r="W8" s="64"/>
      <c r="X8" s="64"/>
      <c r="Y8" s="64"/>
      <c r="Z8" s="64"/>
    </row>
    <row r="9" spans="1:26">
      <c r="A9" s="84" t="s">
        <v>372</v>
      </c>
      <c r="B9" s="64"/>
      <c r="C9" s="64"/>
      <c r="D9" s="64"/>
      <c r="E9" s="64"/>
      <c r="F9" s="64"/>
      <c r="G9" s="64"/>
      <c r="H9" s="64"/>
      <c r="I9" s="64"/>
      <c r="J9" s="64"/>
      <c r="K9" s="64"/>
      <c r="L9" s="64"/>
      <c r="M9" s="64"/>
      <c r="N9" s="64"/>
      <c r="O9" s="64"/>
      <c r="P9" s="64"/>
      <c r="Q9" s="64"/>
      <c r="R9" s="64"/>
      <c r="S9" s="64"/>
      <c r="T9" s="64"/>
      <c r="U9" s="64"/>
      <c r="V9" s="64"/>
      <c r="W9" s="64"/>
      <c r="X9" s="64"/>
      <c r="Y9" s="64"/>
      <c r="Z9" s="64"/>
    </row>
    <row r="10" spans="1:26">
      <c r="A10" s="64"/>
      <c r="B10" s="64"/>
      <c r="C10" s="64"/>
      <c r="D10" s="64"/>
      <c r="E10" s="64"/>
      <c r="F10" s="64"/>
      <c r="G10" s="64"/>
      <c r="H10" s="64"/>
      <c r="I10" s="64"/>
      <c r="J10" s="64"/>
      <c r="K10" s="64"/>
      <c r="L10" s="64"/>
      <c r="M10" s="64"/>
      <c r="N10" s="64"/>
      <c r="O10" s="64"/>
      <c r="P10" s="64"/>
      <c r="Q10" s="64"/>
      <c r="R10" s="64"/>
      <c r="S10" s="64"/>
      <c r="T10" s="64"/>
      <c r="U10" s="64"/>
      <c r="V10" s="64"/>
      <c r="W10" s="64"/>
      <c r="X10" s="64"/>
      <c r="Y10" s="64"/>
      <c r="Z10" s="64"/>
    </row>
    <row r="11" spans="1:26">
      <c r="A11" s="89"/>
      <c r="B11" s="89"/>
      <c r="C11" s="89"/>
      <c r="D11" s="89"/>
      <c r="E11" s="89"/>
      <c r="F11" s="89" t="s">
        <v>373</v>
      </c>
      <c r="G11" s="89" t="s">
        <v>59</v>
      </c>
      <c r="H11" s="89" t="s">
        <v>59</v>
      </c>
      <c r="I11" s="64"/>
      <c r="J11" s="64"/>
      <c r="K11" s="89" t="s">
        <v>374</v>
      </c>
      <c r="L11" s="64"/>
      <c r="M11" s="64"/>
      <c r="N11" s="64"/>
      <c r="O11" s="64"/>
      <c r="P11" s="64"/>
      <c r="Q11" s="64"/>
      <c r="R11" s="64"/>
      <c r="S11" s="64"/>
      <c r="T11" s="64"/>
      <c r="U11" s="64"/>
      <c r="V11" s="64"/>
      <c r="W11" s="64"/>
      <c r="X11" s="64"/>
      <c r="Y11" s="64"/>
      <c r="Z11" s="64"/>
    </row>
    <row r="12" spans="1:26">
      <c r="A12" s="97" t="s">
        <v>14</v>
      </c>
      <c r="B12" s="97" t="s">
        <v>15</v>
      </c>
      <c r="C12" s="97" t="s">
        <v>17</v>
      </c>
      <c r="D12" s="97" t="s">
        <v>18</v>
      </c>
      <c r="E12" s="97" t="s">
        <v>375</v>
      </c>
      <c r="F12" s="97" t="s">
        <v>375</v>
      </c>
      <c r="G12" s="97" t="s">
        <v>42</v>
      </c>
      <c r="H12" s="97" t="s">
        <v>376</v>
      </c>
      <c r="I12" s="64"/>
      <c r="J12" s="64"/>
      <c r="K12" s="90" t="s">
        <v>369</v>
      </c>
      <c r="L12" s="64"/>
      <c r="M12" s="64"/>
      <c r="N12" s="64"/>
      <c r="O12" s="64"/>
      <c r="P12" s="64"/>
      <c r="Q12" s="64"/>
      <c r="R12" s="64"/>
      <c r="S12" s="64"/>
      <c r="T12" s="64"/>
      <c r="U12" s="64"/>
      <c r="V12" s="64"/>
      <c r="W12" s="64"/>
      <c r="X12" s="64"/>
      <c r="Y12" s="64"/>
      <c r="Z12" s="64"/>
    </row>
    <row r="13" spans="1:26">
      <c r="A13" s="64"/>
      <c r="B13" s="64"/>
      <c r="C13" s="64"/>
      <c r="D13" s="64"/>
      <c r="E13" s="64"/>
      <c r="F13" s="64"/>
      <c r="G13" s="64"/>
      <c r="H13" s="64"/>
      <c r="I13" s="64"/>
      <c r="J13" s="85" t="s">
        <v>365</v>
      </c>
      <c r="K13" s="96">
        <f ca="1">Development!BT89</f>
        <v>1</v>
      </c>
      <c r="L13" s="64"/>
      <c r="M13" s="64"/>
      <c r="N13" s="64"/>
      <c r="O13" s="64"/>
      <c r="P13" s="64"/>
      <c r="Q13" s="64"/>
      <c r="R13" s="64"/>
      <c r="S13" s="64"/>
      <c r="T13" s="64"/>
      <c r="U13" s="64"/>
      <c r="V13" s="64"/>
      <c r="W13" s="64"/>
      <c r="X13" s="64"/>
      <c r="Y13" s="64"/>
      <c r="Z13" s="64"/>
    </row>
    <row r="14" spans="1:26">
      <c r="A14" s="104" t="s">
        <v>13</v>
      </c>
      <c r="B14" s="171">
        <f>SUM(B16:B55)</f>
        <v>53139.637351205325</v>
      </c>
      <c r="C14" s="171">
        <f>SUM(C16:C55)</f>
        <v>7634.2299954532573</v>
      </c>
      <c r="D14" s="171">
        <f>SUM(D16:D55)</f>
        <v>10495.781818910329</v>
      </c>
      <c r="E14" s="171">
        <f>SUM(E16:E55)</f>
        <v>35009.625536841741</v>
      </c>
      <c r="F14" s="105"/>
      <c r="G14" s="105"/>
      <c r="H14" s="105"/>
      <c r="I14" s="105"/>
      <c r="J14" s="105"/>
      <c r="K14" s="105"/>
      <c r="L14" s="64"/>
      <c r="M14" s="64"/>
      <c r="N14" s="64"/>
      <c r="O14" s="64"/>
      <c r="P14" s="64"/>
      <c r="Q14" s="64"/>
      <c r="R14" s="64"/>
      <c r="S14" s="64"/>
      <c r="T14" s="64"/>
      <c r="U14" s="64"/>
      <c r="V14" s="64"/>
      <c r="W14" s="64"/>
      <c r="X14" s="64"/>
      <c r="Y14" s="64"/>
      <c r="Z14" s="64"/>
    </row>
    <row r="15" spans="1:26">
      <c r="A15" s="64"/>
      <c r="B15" s="105"/>
      <c r="C15" s="105"/>
      <c r="D15" s="105"/>
      <c r="E15" s="105"/>
      <c r="F15" s="105"/>
      <c r="G15" s="105"/>
      <c r="H15" s="105"/>
      <c r="I15" s="105"/>
      <c r="J15" s="105"/>
      <c r="K15" s="105"/>
      <c r="L15" s="64"/>
      <c r="M15" s="64"/>
      <c r="N15" s="64"/>
      <c r="O15" s="64"/>
      <c r="P15" s="64"/>
      <c r="Q15" s="64"/>
      <c r="R15" s="64"/>
      <c r="S15" s="64"/>
      <c r="T15" s="64"/>
      <c r="U15" s="64"/>
      <c r="V15" s="64"/>
      <c r="W15" s="64"/>
      <c r="X15" s="64"/>
      <c r="Y15" s="64"/>
      <c r="Z15" s="64"/>
    </row>
    <row r="16" spans="1:26">
      <c r="A16" s="106">
        <f>'Success Cash Flow'!A10</f>
        <v>2023</v>
      </c>
      <c r="B16" s="107">
        <f>Revenue!L11</f>
        <v>0</v>
      </c>
      <c r="C16" s="107">
        <f>Development!AW92</f>
        <v>0</v>
      </c>
      <c r="D16" s="107">
        <f>Operations!K19</f>
        <v>0</v>
      </c>
      <c r="E16" s="107">
        <f t="shared" ref="E16:E55" si="0">B16-SUM(C16:D16)</f>
        <v>0</v>
      </c>
      <c r="F16" s="107">
        <f>F15+E16</f>
        <v>0</v>
      </c>
      <c r="G16" s="107">
        <f>IF(A16=$B$4,$B$6*'Selected Economics'!J11,0)</f>
        <v>0</v>
      </c>
      <c r="H16" s="107">
        <f>IF(A16&lt;$B$4,1,0)</f>
        <v>1</v>
      </c>
      <c r="I16" s="105"/>
      <c r="J16" s="105"/>
      <c r="K16" s="107">
        <f ca="1">$K$13*G16</f>
        <v>0</v>
      </c>
      <c r="L16" s="64"/>
      <c r="M16" s="64"/>
      <c r="N16" s="64"/>
      <c r="O16" s="64"/>
      <c r="P16" s="64"/>
      <c r="Q16" s="64"/>
      <c r="R16" s="64"/>
      <c r="S16" s="64"/>
      <c r="T16" s="64"/>
      <c r="U16" s="64"/>
      <c r="V16" s="64"/>
      <c r="W16" s="64"/>
      <c r="X16" s="64"/>
      <c r="Y16" s="64"/>
      <c r="Z16" s="64"/>
    </row>
    <row r="17" spans="1:26">
      <c r="A17" s="108">
        <f>A16+1</f>
        <v>2024</v>
      </c>
      <c r="B17" s="109">
        <f>Revenue!L12</f>
        <v>0</v>
      </c>
      <c r="C17" s="109">
        <f>Development!AW93</f>
        <v>0</v>
      </c>
      <c r="D17" s="109">
        <f>Operations!K20</f>
        <v>0</v>
      </c>
      <c r="E17" s="109">
        <f t="shared" si="0"/>
        <v>0</v>
      </c>
      <c r="F17" s="109">
        <f>F16+E17</f>
        <v>0</v>
      </c>
      <c r="G17" s="109">
        <f>IF(A17=$B$4,$B$6*'Selected Economics'!J12,0)</f>
        <v>0</v>
      </c>
      <c r="H17" s="109">
        <f t="shared" ref="H17:H55" si="1">IF(A17&lt;$B$4,1,0)</f>
        <v>1</v>
      </c>
      <c r="I17" s="105"/>
      <c r="J17" s="105"/>
      <c r="K17" s="109">
        <f t="shared" ref="K17:K55" ca="1" si="2">$K$13*G17</f>
        <v>0</v>
      </c>
      <c r="L17" s="64"/>
      <c r="M17" s="64"/>
      <c r="N17" s="64"/>
      <c r="O17" s="64"/>
      <c r="P17" s="64"/>
      <c r="Q17" s="64"/>
      <c r="R17" s="64"/>
      <c r="S17" s="64"/>
      <c r="T17" s="64"/>
      <c r="U17" s="64"/>
      <c r="V17" s="64"/>
      <c r="W17" s="64"/>
      <c r="X17" s="64"/>
      <c r="Y17" s="64"/>
      <c r="Z17" s="64"/>
    </row>
    <row r="18" spans="1:26">
      <c r="A18" s="108">
        <f t="shared" ref="A18:A55" si="3">A17+1</f>
        <v>2025</v>
      </c>
      <c r="B18" s="109">
        <f>Revenue!L13</f>
        <v>0</v>
      </c>
      <c r="C18" s="109">
        <f>Development!AW94</f>
        <v>0</v>
      </c>
      <c r="D18" s="109">
        <f>Operations!K21</f>
        <v>0</v>
      </c>
      <c r="E18" s="109">
        <f t="shared" si="0"/>
        <v>0</v>
      </c>
      <c r="F18" s="109">
        <f t="shared" ref="F18:F55" si="4">F17+E18</f>
        <v>0</v>
      </c>
      <c r="G18" s="109">
        <f>IF(A18=$B$4,$B$6*'Selected Economics'!J13,0)</f>
        <v>0</v>
      </c>
      <c r="H18" s="109">
        <f t="shared" si="1"/>
        <v>1</v>
      </c>
      <c r="I18" s="105"/>
      <c r="J18" s="105"/>
      <c r="K18" s="109">
        <f t="shared" ca="1" si="2"/>
        <v>0</v>
      </c>
      <c r="L18" s="64"/>
      <c r="M18" s="64"/>
      <c r="N18" s="64"/>
      <c r="O18" s="64"/>
      <c r="P18" s="64"/>
      <c r="Q18" s="64"/>
      <c r="R18" s="64"/>
      <c r="S18" s="64"/>
      <c r="T18" s="64"/>
      <c r="U18" s="64"/>
      <c r="V18" s="64"/>
      <c r="W18" s="64"/>
      <c r="X18" s="64"/>
      <c r="Y18" s="64"/>
      <c r="Z18" s="64"/>
    </row>
    <row r="19" spans="1:26">
      <c r="A19" s="108">
        <f t="shared" si="3"/>
        <v>2026</v>
      </c>
      <c r="B19" s="109">
        <f>Revenue!L14</f>
        <v>0</v>
      </c>
      <c r="C19" s="109">
        <f>Development!AW95</f>
        <v>0</v>
      </c>
      <c r="D19" s="109">
        <f>Operations!K22</f>
        <v>0</v>
      </c>
      <c r="E19" s="109">
        <f t="shared" si="0"/>
        <v>0</v>
      </c>
      <c r="F19" s="109">
        <f t="shared" si="4"/>
        <v>0</v>
      </c>
      <c r="G19" s="109">
        <f>IF(A19=$B$4,$B$6*'Selected Economics'!J14,0)</f>
        <v>0</v>
      </c>
      <c r="H19" s="109">
        <f t="shared" si="1"/>
        <v>1</v>
      </c>
      <c r="I19" s="105"/>
      <c r="J19" s="105"/>
      <c r="K19" s="109">
        <f t="shared" ca="1" si="2"/>
        <v>0</v>
      </c>
      <c r="L19" s="64"/>
      <c r="M19" s="64"/>
      <c r="N19" s="64"/>
      <c r="O19" s="64"/>
      <c r="P19" s="64"/>
      <c r="Q19" s="64"/>
      <c r="R19" s="64"/>
      <c r="S19" s="64"/>
      <c r="T19" s="64"/>
      <c r="U19" s="64"/>
      <c r="V19" s="64"/>
      <c r="W19" s="64"/>
      <c r="X19" s="64"/>
      <c r="Y19" s="64"/>
      <c r="Z19" s="64"/>
    </row>
    <row r="20" spans="1:26">
      <c r="A20" s="108">
        <f t="shared" si="3"/>
        <v>2027</v>
      </c>
      <c r="B20" s="109">
        <f>Revenue!L15</f>
        <v>0</v>
      </c>
      <c r="C20" s="109">
        <f>Development!AW96</f>
        <v>14.316016678088269</v>
      </c>
      <c r="D20" s="109">
        <f>Operations!K23</f>
        <v>0</v>
      </c>
      <c r="E20" s="109">
        <f t="shared" si="0"/>
        <v>-14.316016678088269</v>
      </c>
      <c r="F20" s="109">
        <f t="shared" si="4"/>
        <v>-14.316016678088269</v>
      </c>
      <c r="G20" s="109">
        <f>IF(A20=$B$4,$B$6*'Selected Economics'!J15,0)</f>
        <v>0</v>
      </c>
      <c r="H20" s="109">
        <f t="shared" si="1"/>
        <v>1</v>
      </c>
      <c r="I20" s="105"/>
      <c r="J20" s="105"/>
      <c r="K20" s="109">
        <f t="shared" ca="1" si="2"/>
        <v>0</v>
      </c>
      <c r="L20" s="64"/>
      <c r="M20" s="64"/>
      <c r="N20" s="64"/>
      <c r="O20" s="64"/>
      <c r="P20" s="64"/>
      <c r="Q20" s="64"/>
      <c r="R20" s="64"/>
      <c r="S20" s="64"/>
      <c r="T20" s="64"/>
      <c r="U20" s="64"/>
      <c r="V20" s="64"/>
      <c r="W20" s="64"/>
      <c r="X20" s="64"/>
      <c r="Y20" s="64"/>
      <c r="Z20" s="64"/>
    </row>
    <row r="21" spans="1:26">
      <c r="A21" s="108">
        <f t="shared" si="3"/>
        <v>2028</v>
      </c>
      <c r="B21" s="109">
        <f>Revenue!L16</f>
        <v>0</v>
      </c>
      <c r="C21" s="109">
        <f>Development!AW97</f>
        <v>2.4305764579831179</v>
      </c>
      <c r="D21" s="109">
        <f>Operations!K24</f>
        <v>0</v>
      </c>
      <c r="E21" s="109">
        <f t="shared" si="0"/>
        <v>-2.4305764579831179</v>
      </c>
      <c r="F21" s="109">
        <f t="shared" si="4"/>
        <v>-16.746593136071386</v>
      </c>
      <c r="G21" s="109">
        <f>IF(A21=$B$4,$B$6*'Selected Economics'!J16,0)</f>
        <v>0</v>
      </c>
      <c r="H21" s="109">
        <f t="shared" si="1"/>
        <v>1</v>
      </c>
      <c r="I21" s="105"/>
      <c r="J21" s="105"/>
      <c r="K21" s="109">
        <f t="shared" ca="1" si="2"/>
        <v>0</v>
      </c>
      <c r="L21" s="64"/>
      <c r="M21" s="64"/>
      <c r="N21" s="64"/>
      <c r="O21" s="64"/>
      <c r="P21" s="64"/>
      <c r="Q21" s="64"/>
      <c r="R21" s="64"/>
      <c r="S21" s="64"/>
      <c r="T21" s="64"/>
      <c r="U21" s="64"/>
      <c r="V21" s="64"/>
      <c r="W21" s="64"/>
      <c r="X21" s="64"/>
      <c r="Y21" s="64"/>
      <c r="Z21" s="64"/>
    </row>
    <row r="22" spans="1:26">
      <c r="A22" s="108">
        <f t="shared" si="3"/>
        <v>2029</v>
      </c>
      <c r="B22" s="109">
        <f>Revenue!L17</f>
        <v>0</v>
      </c>
      <c r="C22" s="109">
        <f>Development!AW98</f>
        <v>472.39278561449589</v>
      </c>
      <c r="D22" s="109">
        <f>Operations!K25</f>
        <v>0</v>
      </c>
      <c r="E22" s="109">
        <f t="shared" si="0"/>
        <v>-472.39278561449589</v>
      </c>
      <c r="F22" s="109">
        <f t="shared" si="4"/>
        <v>-489.13937875056729</v>
      </c>
      <c r="G22" s="109">
        <f>IF(A22=$B$4,$B$6*'Selected Economics'!J17,0)</f>
        <v>0</v>
      </c>
      <c r="H22" s="109">
        <f t="shared" si="1"/>
        <v>1</v>
      </c>
      <c r="I22" s="105"/>
      <c r="J22" s="105"/>
      <c r="K22" s="109">
        <f t="shared" ca="1" si="2"/>
        <v>0</v>
      </c>
      <c r="L22" s="64"/>
      <c r="M22" s="64"/>
      <c r="N22" s="64"/>
      <c r="O22" s="64"/>
      <c r="P22" s="64"/>
      <c r="Q22" s="64"/>
      <c r="R22" s="64"/>
      <c r="S22" s="64"/>
      <c r="T22" s="64"/>
      <c r="U22" s="64"/>
      <c r="V22" s="64"/>
      <c r="W22" s="64"/>
      <c r="X22" s="64"/>
      <c r="Y22" s="64"/>
      <c r="Z22" s="64"/>
    </row>
    <row r="23" spans="1:26">
      <c r="A23" s="108">
        <f t="shared" si="3"/>
        <v>2030</v>
      </c>
      <c r="B23" s="109">
        <f>Revenue!L18</f>
        <v>0</v>
      </c>
      <c r="C23" s="109">
        <f>Development!AW99</f>
        <v>4284.4333489780374</v>
      </c>
      <c r="D23" s="109">
        <f>Operations!K26</f>
        <v>0</v>
      </c>
      <c r="E23" s="109">
        <f t="shared" si="0"/>
        <v>-4284.4333489780374</v>
      </c>
      <c r="F23" s="109">
        <f t="shared" si="4"/>
        <v>-4773.5727277286051</v>
      </c>
      <c r="G23" s="109">
        <f>IF(A23=$B$4,$B$6*'Selected Economics'!J18,0)</f>
        <v>0</v>
      </c>
      <c r="H23" s="109">
        <f t="shared" si="1"/>
        <v>1</v>
      </c>
      <c r="I23" s="105"/>
      <c r="J23" s="105"/>
      <c r="K23" s="109">
        <f t="shared" ca="1" si="2"/>
        <v>0</v>
      </c>
      <c r="L23" s="64"/>
      <c r="M23" s="64"/>
      <c r="N23" s="64"/>
      <c r="O23" s="64"/>
      <c r="P23" s="64"/>
      <c r="Q23" s="64"/>
      <c r="R23" s="64"/>
      <c r="S23" s="64"/>
      <c r="T23" s="64"/>
      <c r="U23" s="64"/>
      <c r="V23" s="64"/>
      <c r="W23" s="64"/>
      <c r="X23" s="64"/>
      <c r="Y23" s="64"/>
      <c r="Z23" s="64"/>
    </row>
    <row r="24" spans="1:26">
      <c r="A24" s="108">
        <f t="shared" si="3"/>
        <v>2031</v>
      </c>
      <c r="B24" s="109">
        <f>Revenue!L19</f>
        <v>2528.932343067177</v>
      </c>
      <c r="C24" s="109">
        <f>Development!AW100</f>
        <v>2860.6572677246518</v>
      </c>
      <c r="D24" s="109">
        <f>Operations!K27</f>
        <v>345.38599538637789</v>
      </c>
      <c r="E24" s="109">
        <f t="shared" si="0"/>
        <v>-677.11092004385273</v>
      </c>
      <c r="F24" s="109">
        <f t="shared" si="4"/>
        <v>-5450.6836477724573</v>
      </c>
      <c r="G24" s="109">
        <f>IF(A24=$B$4,$B$6*'Selected Economics'!J19,0)</f>
        <v>0</v>
      </c>
      <c r="H24" s="109">
        <f t="shared" si="1"/>
        <v>1</v>
      </c>
      <c r="I24" s="105"/>
      <c r="J24" s="105"/>
      <c r="K24" s="109">
        <f t="shared" ca="1" si="2"/>
        <v>0</v>
      </c>
      <c r="L24" s="64"/>
      <c r="M24" s="64"/>
      <c r="N24" s="64"/>
      <c r="O24" s="64"/>
      <c r="P24" s="64"/>
      <c r="Q24" s="64"/>
      <c r="R24" s="64"/>
      <c r="S24" s="64"/>
      <c r="T24" s="64"/>
      <c r="U24" s="64"/>
      <c r="V24" s="64"/>
      <c r="W24" s="64"/>
      <c r="X24" s="64"/>
      <c r="Y24" s="64"/>
      <c r="Z24" s="64"/>
    </row>
    <row r="25" spans="1:26">
      <c r="A25" s="108">
        <f t="shared" si="3"/>
        <v>2032</v>
      </c>
      <c r="B25" s="109">
        <f>Revenue!L20</f>
        <v>4474.6536159489724</v>
      </c>
      <c r="C25" s="109">
        <f>Development!AW101</f>
        <v>0</v>
      </c>
      <c r="D25" s="109">
        <f>Operations!K28</f>
        <v>485.12933283851851</v>
      </c>
      <c r="E25" s="109">
        <f t="shared" si="0"/>
        <v>3989.5242831104538</v>
      </c>
      <c r="F25" s="109">
        <f t="shared" si="4"/>
        <v>-1461.1593646620036</v>
      </c>
      <c r="G25" s="109">
        <f>IF(A25=$B$4,$B$6*'Selected Economics'!J20,0)</f>
        <v>0</v>
      </c>
      <c r="H25" s="109">
        <f t="shared" si="1"/>
        <v>1</v>
      </c>
      <c r="I25" s="105"/>
      <c r="J25" s="105"/>
      <c r="K25" s="109">
        <f t="shared" ca="1" si="2"/>
        <v>0</v>
      </c>
      <c r="L25" s="64"/>
      <c r="M25" s="64"/>
      <c r="N25" s="64"/>
      <c r="O25" s="64"/>
      <c r="P25" s="64"/>
      <c r="Q25" s="64"/>
      <c r="R25" s="64"/>
      <c r="S25" s="64"/>
      <c r="T25" s="64"/>
      <c r="U25" s="64"/>
      <c r="V25" s="64"/>
      <c r="W25" s="64"/>
      <c r="X25" s="64"/>
      <c r="Y25" s="64"/>
      <c r="Z25" s="64"/>
    </row>
    <row r="26" spans="1:26">
      <c r="A26" s="108">
        <f t="shared" si="3"/>
        <v>2033</v>
      </c>
      <c r="B26" s="109">
        <f>Revenue!L21</f>
        <v>4596.3006199891151</v>
      </c>
      <c r="C26" s="109">
        <f>Development!AW102</f>
        <v>0</v>
      </c>
      <c r="D26" s="109">
        <f>Operations!K29</f>
        <v>499.31719009157177</v>
      </c>
      <c r="E26" s="109">
        <f t="shared" si="0"/>
        <v>4096.9834298975438</v>
      </c>
      <c r="F26" s="109">
        <f t="shared" si="4"/>
        <v>2635.8240652355403</v>
      </c>
      <c r="G26" s="109">
        <f>IF(A26=$B$4,$B$6*'Selected Economics'!J21,0)</f>
        <v>0</v>
      </c>
      <c r="H26" s="109">
        <f t="shared" si="1"/>
        <v>1</v>
      </c>
      <c r="I26" s="105"/>
      <c r="J26" s="105"/>
      <c r="K26" s="109">
        <f t="shared" ca="1" si="2"/>
        <v>0</v>
      </c>
      <c r="L26" s="64"/>
      <c r="M26" s="64"/>
      <c r="N26" s="64"/>
      <c r="O26" s="64"/>
      <c r="P26" s="64"/>
      <c r="Q26" s="64"/>
      <c r="R26" s="64"/>
      <c r="S26" s="64"/>
      <c r="T26" s="64"/>
      <c r="U26" s="64"/>
      <c r="V26" s="64"/>
      <c r="W26" s="64"/>
      <c r="X26" s="64"/>
      <c r="Y26" s="64"/>
      <c r="Z26" s="64"/>
    </row>
    <row r="27" spans="1:26">
      <c r="A27" s="108">
        <f t="shared" si="3"/>
        <v>2034</v>
      </c>
      <c r="B27" s="109">
        <f>Revenue!L22</f>
        <v>4734.1896385887894</v>
      </c>
      <c r="C27" s="109">
        <f>Development!AW103</f>
        <v>0</v>
      </c>
      <c r="D27" s="109">
        <f>Operations!K30</f>
        <v>514.29670579431888</v>
      </c>
      <c r="E27" s="109">
        <f t="shared" si="0"/>
        <v>4219.8929327944707</v>
      </c>
      <c r="F27" s="109">
        <f t="shared" si="4"/>
        <v>6855.7169980300114</v>
      </c>
      <c r="G27" s="109">
        <f>IF(A27=$B$4,$B$6*'Selected Economics'!J22,0)</f>
        <v>0</v>
      </c>
      <c r="H27" s="109">
        <f t="shared" si="1"/>
        <v>1</v>
      </c>
      <c r="I27" s="105"/>
      <c r="J27" s="105"/>
      <c r="K27" s="109">
        <f t="shared" ca="1" si="2"/>
        <v>0</v>
      </c>
      <c r="L27" s="64"/>
      <c r="M27" s="64"/>
      <c r="N27" s="64"/>
      <c r="O27" s="64"/>
      <c r="P27" s="64"/>
      <c r="Q27" s="64"/>
      <c r="R27" s="64"/>
      <c r="S27" s="64"/>
      <c r="T27" s="64"/>
      <c r="U27" s="64"/>
      <c r="V27" s="64"/>
      <c r="W27" s="64"/>
      <c r="X27" s="64"/>
      <c r="Y27" s="64"/>
      <c r="Z27" s="64"/>
    </row>
    <row r="28" spans="1:26">
      <c r="A28" s="108">
        <f t="shared" si="3"/>
        <v>2035</v>
      </c>
      <c r="B28" s="109">
        <f>Revenue!L23</f>
        <v>4744.1642155327918</v>
      </c>
      <c r="C28" s="109">
        <f>Development!AW104</f>
        <v>0</v>
      </c>
      <c r="D28" s="109">
        <f>Operations!K31</f>
        <v>520.38284147447939</v>
      </c>
      <c r="E28" s="109">
        <f t="shared" si="0"/>
        <v>4223.7813740583124</v>
      </c>
      <c r="F28" s="109">
        <f t="shared" si="4"/>
        <v>11079.498372088325</v>
      </c>
      <c r="G28" s="109">
        <f>IF(A28=$B$4,$B$6*'Selected Economics'!J23,0)</f>
        <v>0</v>
      </c>
      <c r="H28" s="109">
        <f t="shared" si="1"/>
        <v>1</v>
      </c>
      <c r="I28" s="105"/>
      <c r="J28" s="105"/>
      <c r="K28" s="109">
        <f t="shared" ca="1" si="2"/>
        <v>0</v>
      </c>
      <c r="L28" s="64"/>
      <c r="M28" s="64"/>
      <c r="N28" s="64"/>
      <c r="O28" s="64"/>
      <c r="P28" s="64"/>
      <c r="Q28" s="64"/>
      <c r="R28" s="64"/>
      <c r="S28" s="64"/>
      <c r="T28" s="64"/>
      <c r="U28" s="64"/>
      <c r="V28" s="64"/>
      <c r="W28" s="64"/>
      <c r="X28" s="64"/>
      <c r="Y28" s="64"/>
      <c r="Z28" s="64"/>
    </row>
    <row r="29" spans="1:26">
      <c r="A29" s="108">
        <f t="shared" si="3"/>
        <v>2036</v>
      </c>
      <c r="B29" s="109">
        <f>Revenue!L24</f>
        <v>4224.8250692278016</v>
      </c>
      <c r="C29" s="109">
        <f>Development!AW105</f>
        <v>0</v>
      </c>
      <c r="D29" s="109">
        <f>Operations!K32</f>
        <v>488.69966965892007</v>
      </c>
      <c r="E29" s="109">
        <f t="shared" si="0"/>
        <v>3736.1253995688817</v>
      </c>
      <c r="F29" s="109">
        <f t="shared" si="4"/>
        <v>14815.623771657207</v>
      </c>
      <c r="G29" s="109">
        <f>IF(A29=$B$4,$B$6*'Selected Economics'!J24,0)</f>
        <v>0</v>
      </c>
      <c r="H29" s="109">
        <f t="shared" si="1"/>
        <v>1</v>
      </c>
      <c r="I29" s="105"/>
      <c r="J29" s="105"/>
      <c r="K29" s="109">
        <f t="shared" ca="1" si="2"/>
        <v>0</v>
      </c>
      <c r="L29" s="64"/>
      <c r="M29" s="64"/>
      <c r="N29" s="64"/>
      <c r="O29" s="64"/>
      <c r="P29" s="64"/>
      <c r="Q29" s="64"/>
      <c r="R29" s="64"/>
      <c r="S29" s="64"/>
      <c r="T29" s="64"/>
      <c r="U29" s="64"/>
      <c r="V29" s="64"/>
      <c r="W29" s="64"/>
      <c r="X29" s="64"/>
      <c r="Y29" s="64"/>
      <c r="Z29" s="64"/>
    </row>
    <row r="30" spans="1:26">
      <c r="A30" s="108">
        <f t="shared" si="3"/>
        <v>2037</v>
      </c>
      <c r="B30" s="109">
        <f>Revenue!L25</f>
        <v>3687.8848585770402</v>
      </c>
      <c r="C30" s="109">
        <f>Development!AW106</f>
        <v>0</v>
      </c>
      <c r="D30" s="109">
        <f>Operations!K33</f>
        <v>456.89980930528867</v>
      </c>
      <c r="E30" s="109">
        <f t="shared" si="0"/>
        <v>3230.9850492717514</v>
      </c>
      <c r="F30" s="109">
        <f t="shared" si="4"/>
        <v>18046.608820928959</v>
      </c>
      <c r="G30" s="109">
        <f>IF(A30=$B$4,$B$6*'Selected Economics'!J25,0)</f>
        <v>0</v>
      </c>
      <c r="H30" s="109">
        <f t="shared" si="1"/>
        <v>1</v>
      </c>
      <c r="I30" s="105"/>
      <c r="J30" s="105"/>
      <c r="K30" s="109">
        <f t="shared" ca="1" si="2"/>
        <v>0</v>
      </c>
      <c r="L30" s="64"/>
      <c r="M30" s="64"/>
      <c r="N30" s="64"/>
      <c r="O30" s="64"/>
      <c r="P30" s="64"/>
      <c r="Q30" s="64"/>
      <c r="R30" s="64"/>
      <c r="S30" s="64"/>
      <c r="T30" s="64"/>
      <c r="U30" s="64"/>
      <c r="V30" s="64"/>
      <c r="W30" s="64"/>
      <c r="X30" s="64"/>
      <c r="Y30" s="64"/>
      <c r="Z30" s="64"/>
    </row>
    <row r="31" spans="1:26">
      <c r="A31" s="108">
        <f t="shared" si="3"/>
        <v>2038</v>
      </c>
      <c r="B31" s="109">
        <f>Revenue!L26</f>
        <v>3228.7431936841967</v>
      </c>
      <c r="C31" s="109">
        <f>Development!AW107</f>
        <v>0</v>
      </c>
      <c r="D31" s="109">
        <f>Operations!K34</f>
        <v>430.29435095706208</v>
      </c>
      <c r="E31" s="109">
        <f t="shared" si="0"/>
        <v>2798.4488427271344</v>
      </c>
      <c r="F31" s="109">
        <f t="shared" si="4"/>
        <v>20845.057663656095</v>
      </c>
      <c r="G31" s="109">
        <f>IF(A31=$B$4,$B$6*'Selected Economics'!J26,0)</f>
        <v>0</v>
      </c>
      <c r="H31" s="109">
        <f t="shared" si="1"/>
        <v>1</v>
      </c>
      <c r="I31" s="105"/>
      <c r="J31" s="105"/>
      <c r="K31" s="109">
        <f t="shared" ca="1" si="2"/>
        <v>0</v>
      </c>
      <c r="L31" s="64"/>
      <c r="M31" s="64"/>
      <c r="N31" s="64"/>
      <c r="O31" s="64"/>
      <c r="P31" s="64"/>
      <c r="Q31" s="64"/>
      <c r="R31" s="64"/>
      <c r="S31" s="64"/>
      <c r="T31" s="64"/>
      <c r="U31" s="64"/>
      <c r="V31" s="64"/>
      <c r="W31" s="64"/>
      <c r="X31" s="64"/>
      <c r="Y31" s="64"/>
      <c r="Z31" s="64"/>
    </row>
    <row r="32" spans="1:26">
      <c r="A32" s="108">
        <f t="shared" si="3"/>
        <v>2039</v>
      </c>
      <c r="B32" s="109">
        <f>Revenue!L27</f>
        <v>2826.7646660705136</v>
      </c>
      <c r="C32" s="109">
        <f>Development!AW108</f>
        <v>0</v>
      </c>
      <c r="D32" s="109">
        <f>Operations!K35</f>
        <v>407.90962921049828</v>
      </c>
      <c r="E32" s="109">
        <f t="shared" si="0"/>
        <v>2418.8550368600154</v>
      </c>
      <c r="F32" s="109">
        <f t="shared" si="4"/>
        <v>23263.91270051611</v>
      </c>
      <c r="G32" s="109">
        <f>IF(A32=$B$4,$B$6*'Selected Economics'!J27,0)</f>
        <v>0</v>
      </c>
      <c r="H32" s="109">
        <f t="shared" si="1"/>
        <v>1</v>
      </c>
      <c r="I32" s="105"/>
      <c r="J32" s="105"/>
      <c r="K32" s="109">
        <f t="shared" ca="1" si="2"/>
        <v>0</v>
      </c>
      <c r="L32" s="64"/>
      <c r="M32" s="64"/>
      <c r="N32" s="64"/>
      <c r="O32" s="64"/>
      <c r="P32" s="64"/>
      <c r="Q32" s="64"/>
      <c r="R32" s="64"/>
      <c r="S32" s="64"/>
      <c r="T32" s="64"/>
      <c r="U32" s="64"/>
      <c r="V32" s="64"/>
      <c r="W32" s="64"/>
      <c r="X32" s="64"/>
      <c r="Y32" s="64"/>
      <c r="Z32" s="64"/>
    </row>
    <row r="33" spans="1:26">
      <c r="A33" s="108">
        <f t="shared" si="3"/>
        <v>2040</v>
      </c>
      <c r="B33" s="109">
        <f>Revenue!L28</f>
        <v>2481.0753866856876</v>
      </c>
      <c r="C33" s="109">
        <f>Development!AW109</f>
        <v>0</v>
      </c>
      <c r="D33" s="109">
        <f>Operations!K36</f>
        <v>389.40653100372413</v>
      </c>
      <c r="E33" s="109">
        <f t="shared" si="0"/>
        <v>2091.6688556819636</v>
      </c>
      <c r="F33" s="109">
        <f t="shared" si="4"/>
        <v>25355.581556198074</v>
      </c>
      <c r="G33" s="109">
        <f>IF(A33=$B$4,$B$6*'Selected Economics'!J28,0)</f>
        <v>0</v>
      </c>
      <c r="H33" s="109">
        <f t="shared" si="1"/>
        <v>1</v>
      </c>
      <c r="I33" s="105"/>
      <c r="J33" s="105"/>
      <c r="K33" s="109">
        <f t="shared" ca="1" si="2"/>
        <v>0</v>
      </c>
      <c r="L33" s="64"/>
      <c r="M33" s="64"/>
      <c r="N33" s="64"/>
      <c r="O33" s="64"/>
      <c r="P33" s="64"/>
      <c r="Q33" s="64"/>
      <c r="R33" s="64"/>
      <c r="S33" s="64"/>
      <c r="T33" s="64"/>
      <c r="U33" s="64"/>
      <c r="V33" s="64"/>
      <c r="W33" s="64"/>
      <c r="X33" s="64"/>
      <c r="Y33" s="64"/>
      <c r="Z33" s="64"/>
    </row>
    <row r="34" spans="1:26">
      <c r="A34" s="108">
        <f t="shared" si="3"/>
        <v>2041</v>
      </c>
      <c r="B34" s="109">
        <f>Revenue!L29</f>
        <v>2165.7512918561383</v>
      </c>
      <c r="C34" s="109">
        <f>Development!AW110</f>
        <v>0</v>
      </c>
      <c r="D34" s="109">
        <f>Operations!K37</f>
        <v>373.80407713396335</v>
      </c>
      <c r="E34" s="109">
        <f t="shared" si="0"/>
        <v>1791.947214722175</v>
      </c>
      <c r="F34" s="109">
        <f t="shared" si="4"/>
        <v>27147.528770920249</v>
      </c>
      <c r="G34" s="109">
        <f>IF(A34=$B$4,$B$6*'Selected Economics'!J29,0)</f>
        <v>0</v>
      </c>
      <c r="H34" s="109">
        <f t="shared" si="1"/>
        <v>1</v>
      </c>
      <c r="I34" s="105"/>
      <c r="J34" s="105"/>
      <c r="K34" s="109">
        <f t="shared" ca="1" si="2"/>
        <v>0</v>
      </c>
      <c r="L34" s="64"/>
      <c r="M34" s="64"/>
      <c r="N34" s="64"/>
      <c r="O34" s="64"/>
      <c r="P34" s="64"/>
      <c r="Q34" s="64"/>
      <c r="R34" s="64"/>
      <c r="S34" s="64"/>
      <c r="T34" s="64"/>
      <c r="U34" s="64"/>
      <c r="V34" s="64"/>
      <c r="W34" s="64"/>
      <c r="X34" s="64"/>
      <c r="Y34" s="64"/>
      <c r="Z34" s="64"/>
    </row>
    <row r="35" spans="1:26">
      <c r="A35" s="108">
        <f t="shared" si="3"/>
        <v>2042</v>
      </c>
      <c r="B35" s="109">
        <f>Revenue!L30</f>
        <v>1896.1152560200517</v>
      </c>
      <c r="C35" s="109">
        <f>Development!AW111</f>
        <v>0</v>
      </c>
      <c r="D35" s="109">
        <f>Operations!K38</f>
        <v>361.34426446799074</v>
      </c>
      <c r="E35" s="109">
        <f t="shared" si="0"/>
        <v>1534.7709915520609</v>
      </c>
      <c r="F35" s="109">
        <f t="shared" si="4"/>
        <v>28682.29976247231</v>
      </c>
      <c r="G35" s="109">
        <f>IF(A35=$B$4,$B$6*'Selected Economics'!J30,0)</f>
        <v>0</v>
      </c>
      <c r="H35" s="109">
        <f t="shared" si="1"/>
        <v>1</v>
      </c>
      <c r="I35" s="105"/>
      <c r="J35" s="105"/>
      <c r="K35" s="109">
        <f t="shared" ca="1" si="2"/>
        <v>0</v>
      </c>
      <c r="L35" s="64"/>
      <c r="M35" s="64"/>
      <c r="N35" s="64"/>
      <c r="O35" s="64"/>
      <c r="P35" s="64"/>
      <c r="Q35" s="64"/>
      <c r="R35" s="64"/>
      <c r="S35" s="64"/>
      <c r="T35" s="64"/>
      <c r="U35" s="64"/>
      <c r="V35" s="64"/>
      <c r="W35" s="64"/>
      <c r="X35" s="64"/>
      <c r="Y35" s="64"/>
      <c r="Z35" s="64"/>
    </row>
    <row r="36" spans="1:26">
      <c r="A36" s="108">
        <f t="shared" si="3"/>
        <v>2043</v>
      </c>
      <c r="B36" s="109">
        <f>Revenue!L31</f>
        <v>1660.0489066455534</v>
      </c>
      <c r="C36" s="109">
        <f>Development!AW112</f>
        <v>0</v>
      </c>
      <c r="D36" s="109">
        <f>Operations!K39</f>
        <v>351.45806232704751</v>
      </c>
      <c r="E36" s="109">
        <f t="shared" si="0"/>
        <v>1308.5908443185058</v>
      </c>
      <c r="F36" s="109">
        <f t="shared" si="4"/>
        <v>29990.890606790817</v>
      </c>
      <c r="G36" s="109">
        <f>IF(A36=$B$4,$B$6*'Selected Economics'!J31,0)</f>
        <v>0</v>
      </c>
      <c r="H36" s="109">
        <f t="shared" si="1"/>
        <v>1</v>
      </c>
      <c r="I36" s="105"/>
      <c r="J36" s="105"/>
      <c r="K36" s="109">
        <f t="shared" ca="1" si="2"/>
        <v>0</v>
      </c>
      <c r="L36" s="64"/>
      <c r="M36" s="64"/>
      <c r="N36" s="64"/>
      <c r="O36" s="64"/>
      <c r="P36" s="64"/>
      <c r="Q36" s="64"/>
      <c r="R36" s="64"/>
      <c r="S36" s="64"/>
      <c r="T36" s="64"/>
      <c r="U36" s="64"/>
      <c r="V36" s="64"/>
      <c r="W36" s="64"/>
      <c r="X36" s="64"/>
      <c r="Y36" s="64"/>
      <c r="Z36" s="64"/>
    </row>
    <row r="37" spans="1:26">
      <c r="A37" s="108">
        <f t="shared" si="3"/>
        <v>2044</v>
      </c>
      <c r="B37" s="109">
        <f>Revenue!L32</f>
        <v>1457.0390426940562</v>
      </c>
      <c r="C37" s="109">
        <f>Development!AW113</f>
        <v>0</v>
      </c>
      <c r="D37" s="109">
        <f>Operations!K40</f>
        <v>343.94917088795296</v>
      </c>
      <c r="E37" s="109">
        <f t="shared" si="0"/>
        <v>1113.0898718061032</v>
      </c>
      <c r="F37" s="109">
        <f t="shared" si="4"/>
        <v>31103.980478596921</v>
      </c>
      <c r="G37" s="109">
        <f>IF(A37=$B$4,$B$6*'Selected Economics'!J32,0)</f>
        <v>0</v>
      </c>
      <c r="H37" s="109">
        <f t="shared" si="1"/>
        <v>1</v>
      </c>
      <c r="I37" s="105"/>
      <c r="J37" s="105"/>
      <c r="K37" s="109">
        <f t="shared" ca="1" si="2"/>
        <v>0</v>
      </c>
      <c r="L37" s="64"/>
      <c r="M37" s="64"/>
      <c r="N37" s="64"/>
      <c r="O37" s="64"/>
      <c r="P37" s="64"/>
      <c r="Q37" s="64"/>
      <c r="R37" s="64"/>
      <c r="S37" s="64"/>
      <c r="T37" s="64"/>
      <c r="U37" s="64"/>
      <c r="V37" s="64"/>
      <c r="W37" s="64"/>
      <c r="X37" s="64"/>
      <c r="Y37" s="64"/>
      <c r="Z37" s="64"/>
    </row>
    <row r="38" spans="1:26">
      <c r="A38" s="108">
        <f t="shared" si="3"/>
        <v>2045</v>
      </c>
      <c r="B38" s="109">
        <f>Revenue!L33</f>
        <v>1271.8614702049981</v>
      </c>
      <c r="C38" s="109">
        <f>Development!AW114</f>
        <v>0</v>
      </c>
      <c r="D38" s="109">
        <f>Operations!K41</f>
        <v>338.24443275876462</v>
      </c>
      <c r="E38" s="109">
        <f t="shared" si="0"/>
        <v>933.61703744623355</v>
      </c>
      <c r="F38" s="109">
        <f t="shared" si="4"/>
        <v>32037.597516043155</v>
      </c>
      <c r="G38" s="109">
        <f>IF(A38=$B$4,$B$6*'Selected Economics'!J33,0)</f>
        <v>0</v>
      </c>
      <c r="H38" s="109">
        <f t="shared" si="1"/>
        <v>1</v>
      </c>
      <c r="I38" s="105"/>
      <c r="J38" s="105"/>
      <c r="K38" s="109">
        <f t="shared" ca="1" si="2"/>
        <v>0</v>
      </c>
      <c r="L38" s="64"/>
      <c r="M38" s="64"/>
      <c r="N38" s="64"/>
      <c r="O38" s="64"/>
      <c r="P38" s="64"/>
      <c r="Q38" s="64"/>
      <c r="R38" s="64"/>
      <c r="S38" s="64"/>
      <c r="T38" s="64"/>
      <c r="U38" s="64"/>
      <c r="V38" s="64"/>
      <c r="W38" s="64"/>
      <c r="X38" s="64"/>
      <c r="Y38" s="64"/>
      <c r="Z38" s="64"/>
    </row>
    <row r="39" spans="1:26">
      <c r="A39" s="108">
        <f t="shared" si="3"/>
        <v>2046</v>
      </c>
      <c r="B39" s="109">
        <f>Revenue!L34</f>
        <v>1113.5147171644735</v>
      </c>
      <c r="C39" s="109">
        <f>Development!AW115</f>
        <v>0</v>
      </c>
      <c r="D39" s="109">
        <f>Operations!K42</f>
        <v>334.48898481630653</v>
      </c>
      <c r="E39" s="109">
        <f t="shared" si="0"/>
        <v>779.02573234816691</v>
      </c>
      <c r="F39" s="109">
        <f t="shared" si="4"/>
        <v>32816.623248391319</v>
      </c>
      <c r="G39" s="109">
        <f>IF(A39=$B$4,$B$6*'Selected Economics'!J34,0)</f>
        <v>0</v>
      </c>
      <c r="H39" s="109">
        <f t="shared" si="1"/>
        <v>1</v>
      </c>
      <c r="I39" s="105"/>
      <c r="J39" s="105"/>
      <c r="K39" s="109">
        <f t="shared" ca="1" si="2"/>
        <v>0</v>
      </c>
      <c r="L39" s="64"/>
      <c r="M39" s="64"/>
      <c r="N39" s="64"/>
      <c r="O39" s="64"/>
      <c r="P39" s="64"/>
      <c r="Q39" s="64"/>
      <c r="R39" s="64"/>
      <c r="S39" s="64"/>
      <c r="T39" s="64"/>
      <c r="U39" s="64"/>
      <c r="V39" s="64"/>
      <c r="W39" s="64"/>
      <c r="X39" s="64"/>
      <c r="Y39" s="64"/>
      <c r="Z39" s="64"/>
    </row>
    <row r="40" spans="1:26">
      <c r="A40" s="108">
        <f t="shared" si="3"/>
        <v>2047</v>
      </c>
      <c r="B40" s="109">
        <f>Revenue!L35</f>
        <v>974.88213487749533</v>
      </c>
      <c r="C40" s="109">
        <f>Development!AW116</f>
        <v>0</v>
      </c>
      <c r="D40" s="109">
        <f>Operations!K43</f>
        <v>332.35176966076489</v>
      </c>
      <c r="E40" s="109">
        <f t="shared" si="0"/>
        <v>642.53036521673039</v>
      </c>
      <c r="F40" s="109">
        <f t="shared" si="4"/>
        <v>33459.153613608047</v>
      </c>
      <c r="G40" s="109">
        <f>IF(A40=$B$4,$B$6*'Selected Economics'!J35,0)</f>
        <v>0</v>
      </c>
      <c r="H40" s="109">
        <f t="shared" si="1"/>
        <v>1</v>
      </c>
      <c r="I40" s="105"/>
      <c r="J40" s="105"/>
      <c r="K40" s="109">
        <f t="shared" ca="1" si="2"/>
        <v>0</v>
      </c>
      <c r="L40" s="64"/>
      <c r="M40" s="64"/>
      <c r="N40" s="64"/>
      <c r="O40" s="64"/>
      <c r="P40" s="64"/>
      <c r="Q40" s="64"/>
      <c r="R40" s="64"/>
      <c r="S40" s="64"/>
      <c r="T40" s="64"/>
      <c r="U40" s="64"/>
      <c r="V40" s="64"/>
      <c r="W40" s="64"/>
      <c r="X40" s="64"/>
      <c r="Y40" s="64"/>
      <c r="Z40" s="64"/>
    </row>
    <row r="41" spans="1:26">
      <c r="A41" s="108">
        <f t="shared" si="3"/>
        <v>2048</v>
      </c>
      <c r="B41" s="109">
        <f>Revenue!L36</f>
        <v>855.66234034135948</v>
      </c>
      <c r="C41" s="109">
        <f>Development!AW117</f>
        <v>0</v>
      </c>
      <c r="D41" s="109">
        <f>Operations!K44</f>
        <v>331.72071358721138</v>
      </c>
      <c r="E41" s="109">
        <f t="shared" si="0"/>
        <v>523.94162675414805</v>
      </c>
      <c r="F41" s="109">
        <f t="shared" si="4"/>
        <v>33983.095240362192</v>
      </c>
      <c r="G41" s="109">
        <f>IF(A41=$B$4,$B$6*'Selected Economics'!J36,0)</f>
        <v>0</v>
      </c>
      <c r="H41" s="109">
        <f t="shared" si="1"/>
        <v>1</v>
      </c>
      <c r="I41" s="105"/>
      <c r="J41" s="105"/>
      <c r="K41" s="109">
        <f t="shared" ca="1" si="2"/>
        <v>0</v>
      </c>
      <c r="L41" s="64"/>
      <c r="M41" s="64"/>
      <c r="N41" s="64"/>
      <c r="O41" s="64"/>
      <c r="P41" s="64"/>
      <c r="Q41" s="64"/>
      <c r="R41" s="64"/>
      <c r="S41" s="64"/>
      <c r="T41" s="64"/>
      <c r="U41" s="64"/>
      <c r="V41" s="64"/>
      <c r="W41" s="64"/>
      <c r="X41" s="64"/>
      <c r="Y41" s="64"/>
      <c r="Z41" s="64"/>
    </row>
    <row r="42" spans="1:26">
      <c r="A42" s="108">
        <f t="shared" si="3"/>
        <v>2049</v>
      </c>
      <c r="B42" s="109">
        <f>Revenue!L37</f>
        <v>746.91475677506548</v>
      </c>
      <c r="C42" s="109">
        <f>Development!AW118</f>
        <v>0</v>
      </c>
      <c r="D42" s="109">
        <f>Operations!K45</f>
        <v>332.26252526940027</v>
      </c>
      <c r="E42" s="109">
        <f t="shared" si="0"/>
        <v>414.65223150566521</v>
      </c>
      <c r="F42" s="109">
        <f t="shared" si="4"/>
        <v>34397.747471867857</v>
      </c>
      <c r="G42" s="109">
        <f>IF(A42=$B$4,$B$6*'Selected Economics'!J37,0)</f>
        <v>0</v>
      </c>
      <c r="H42" s="109">
        <f t="shared" si="1"/>
        <v>1</v>
      </c>
      <c r="I42" s="105"/>
      <c r="J42" s="105"/>
      <c r="K42" s="109">
        <f t="shared" ca="1" si="2"/>
        <v>0</v>
      </c>
      <c r="L42" s="64"/>
      <c r="M42" s="64"/>
      <c r="N42" s="64"/>
      <c r="O42" s="64"/>
      <c r="P42" s="64"/>
      <c r="Q42" s="64"/>
      <c r="R42" s="64"/>
      <c r="S42" s="64"/>
      <c r="T42" s="64"/>
      <c r="U42" s="64"/>
      <c r="V42" s="64"/>
      <c r="W42" s="64"/>
      <c r="X42" s="64"/>
      <c r="Y42" s="64"/>
      <c r="Z42" s="64"/>
    </row>
    <row r="43" spans="1:26">
      <c r="A43" s="108">
        <f t="shared" si="3"/>
        <v>2050</v>
      </c>
      <c r="B43" s="109">
        <f>Revenue!L38</f>
        <v>653.92386955657173</v>
      </c>
      <c r="C43" s="109">
        <f>Development!AW119</f>
        <v>0</v>
      </c>
      <c r="D43" s="109">
        <f>Operations!K46</f>
        <v>334.06583870955592</v>
      </c>
      <c r="E43" s="109">
        <f t="shared" si="0"/>
        <v>319.85803084701581</v>
      </c>
      <c r="F43" s="109">
        <f t="shared" si="4"/>
        <v>34717.605502714876</v>
      </c>
      <c r="G43" s="109">
        <f>IF(A43=$B$4,$B$6*'Selected Economics'!J38,0)</f>
        <v>0</v>
      </c>
      <c r="H43" s="109">
        <f t="shared" si="1"/>
        <v>1</v>
      </c>
      <c r="I43" s="105"/>
      <c r="J43" s="105"/>
      <c r="K43" s="109">
        <f t="shared" ca="1" si="2"/>
        <v>0</v>
      </c>
      <c r="L43" s="64"/>
      <c r="M43" s="64"/>
      <c r="N43" s="64"/>
      <c r="O43" s="64"/>
      <c r="P43" s="64"/>
      <c r="Q43" s="64"/>
      <c r="R43" s="64"/>
      <c r="S43" s="64"/>
      <c r="T43" s="64"/>
      <c r="U43" s="64"/>
      <c r="V43" s="64"/>
      <c r="W43" s="64"/>
      <c r="X43" s="64"/>
      <c r="Y43" s="64"/>
      <c r="Z43" s="64"/>
    </row>
    <row r="44" spans="1:26">
      <c r="A44" s="108">
        <f t="shared" si="3"/>
        <v>2051</v>
      </c>
      <c r="B44" s="109">
        <f>Revenue!L39</f>
        <v>572.51034779677798</v>
      </c>
      <c r="C44" s="109">
        <f>Development!AW120</f>
        <v>0</v>
      </c>
      <c r="D44" s="109">
        <f>Operations!K47</f>
        <v>336.93973956149796</v>
      </c>
      <c r="E44" s="109">
        <f t="shared" si="0"/>
        <v>235.57060823528002</v>
      </c>
      <c r="F44" s="109">
        <f t="shared" si="4"/>
        <v>34953.176110950153</v>
      </c>
      <c r="G44" s="109">
        <f>IF(A44=$B$4,$B$6*'Selected Economics'!J39,0)</f>
        <v>0</v>
      </c>
      <c r="H44" s="109">
        <f t="shared" si="1"/>
        <v>1</v>
      </c>
      <c r="I44" s="105"/>
      <c r="J44" s="105"/>
      <c r="K44" s="109">
        <f t="shared" ca="1" si="2"/>
        <v>0</v>
      </c>
      <c r="L44" s="64"/>
      <c r="M44" s="64"/>
      <c r="N44" s="64"/>
      <c r="O44" s="64"/>
      <c r="P44" s="64"/>
      <c r="Q44" s="64"/>
      <c r="R44" s="64"/>
      <c r="S44" s="64"/>
      <c r="T44" s="64"/>
      <c r="U44" s="64"/>
      <c r="V44" s="64"/>
      <c r="W44" s="64"/>
      <c r="X44" s="64"/>
      <c r="Y44" s="64"/>
      <c r="Z44" s="64"/>
    </row>
    <row r="45" spans="1:26">
      <c r="A45" s="108">
        <f t="shared" si="3"/>
        <v>2052</v>
      </c>
      <c r="B45" s="109">
        <f>Revenue!L40</f>
        <v>502.49720098419101</v>
      </c>
      <c r="C45" s="109">
        <f>Development!AW121</f>
        <v>0</v>
      </c>
      <c r="D45" s="109">
        <f>Operations!K48</f>
        <v>340.82201916651775</v>
      </c>
      <c r="E45" s="109">
        <f t="shared" si="0"/>
        <v>161.67518181767326</v>
      </c>
      <c r="F45" s="109">
        <f t="shared" si="4"/>
        <v>35114.851292767824</v>
      </c>
      <c r="G45" s="109">
        <f>IF(A45=$B$4,$B$6*'Selected Economics'!J40,0)</f>
        <v>0</v>
      </c>
      <c r="H45" s="109">
        <f t="shared" si="1"/>
        <v>1</v>
      </c>
      <c r="I45" s="105"/>
      <c r="J45" s="105"/>
      <c r="K45" s="109">
        <f t="shared" ca="1" si="2"/>
        <v>0</v>
      </c>
      <c r="L45" s="64"/>
      <c r="M45" s="64"/>
      <c r="N45" s="64"/>
      <c r="O45" s="64"/>
      <c r="P45" s="64"/>
      <c r="Q45" s="64"/>
      <c r="R45" s="64"/>
      <c r="S45" s="64"/>
      <c r="T45" s="64"/>
      <c r="U45" s="64"/>
      <c r="V45" s="64"/>
      <c r="W45" s="64"/>
      <c r="X45" s="64"/>
      <c r="Y45" s="64"/>
      <c r="Z45" s="64"/>
    </row>
    <row r="46" spans="1:26">
      <c r="A46" s="108">
        <f t="shared" si="3"/>
        <v>2053</v>
      </c>
      <c r="B46" s="109">
        <f>Revenue!L41</f>
        <v>438.63397622890432</v>
      </c>
      <c r="C46" s="109">
        <f>Development!AW122</f>
        <v>0</v>
      </c>
      <c r="D46" s="109">
        <f>Operations!K49</f>
        <v>345.52066459991596</v>
      </c>
      <c r="E46" s="109">
        <f t="shared" si="0"/>
        <v>93.113311628988356</v>
      </c>
      <c r="F46" s="109">
        <f t="shared" si="4"/>
        <v>35207.96460439681</v>
      </c>
      <c r="G46" s="109">
        <f>IF(A46=$B$4,$B$6*'Selected Economics'!J41,0)</f>
        <v>0</v>
      </c>
      <c r="H46" s="109">
        <f t="shared" si="1"/>
        <v>1</v>
      </c>
      <c r="I46" s="105"/>
      <c r="J46" s="105"/>
      <c r="K46" s="109">
        <f t="shared" ca="1" si="2"/>
        <v>0</v>
      </c>
      <c r="L46" s="64"/>
      <c r="M46" s="64"/>
      <c r="N46" s="64"/>
      <c r="O46" s="64"/>
      <c r="P46" s="64"/>
      <c r="Q46" s="64"/>
      <c r="R46" s="64"/>
      <c r="S46" s="64"/>
      <c r="T46" s="64"/>
      <c r="U46" s="64"/>
      <c r="V46" s="64"/>
      <c r="W46" s="64"/>
      <c r="X46" s="64"/>
      <c r="Y46" s="64"/>
      <c r="Z46" s="64"/>
    </row>
    <row r="47" spans="1:26">
      <c r="A47" s="108">
        <f t="shared" si="3"/>
        <v>2054</v>
      </c>
      <c r="B47" s="109">
        <f>Revenue!L42</f>
        <v>384.02404618840427</v>
      </c>
      <c r="C47" s="109">
        <f>Development!AW123</f>
        <v>0</v>
      </c>
      <c r="D47" s="109">
        <f>Operations!K50</f>
        <v>351.09155474954565</v>
      </c>
      <c r="E47" s="109">
        <f t="shared" si="0"/>
        <v>32.932491438858619</v>
      </c>
      <c r="F47" s="109">
        <f t="shared" si="4"/>
        <v>35240.897095835666</v>
      </c>
      <c r="G47" s="109">
        <f>IF(A47=$B$4,$B$6*'Selected Economics'!J42,0)</f>
        <v>0</v>
      </c>
      <c r="H47" s="109">
        <f t="shared" si="1"/>
        <v>1</v>
      </c>
      <c r="I47" s="105"/>
      <c r="J47" s="105"/>
      <c r="K47" s="109">
        <f t="shared" ca="1" si="2"/>
        <v>0</v>
      </c>
      <c r="L47" s="64"/>
      <c r="M47" s="64"/>
      <c r="N47" s="64"/>
      <c r="O47" s="64"/>
      <c r="P47" s="64"/>
      <c r="Q47" s="64"/>
      <c r="R47" s="64"/>
      <c r="S47" s="64"/>
      <c r="T47" s="64"/>
      <c r="U47" s="64"/>
      <c r="V47" s="64"/>
      <c r="W47" s="64"/>
      <c r="X47" s="64"/>
      <c r="Y47" s="64"/>
      <c r="Z47" s="64"/>
    </row>
    <row r="48" spans="1:26">
      <c r="A48" s="108">
        <f t="shared" si="3"/>
        <v>2055</v>
      </c>
      <c r="B48" s="109">
        <f>Revenue!L43</f>
        <v>336.21305243794916</v>
      </c>
      <c r="C48" s="109">
        <f>Development!AW124</f>
        <v>0</v>
      </c>
      <c r="D48" s="109">
        <f>Operations!K51</f>
        <v>357.42651546231633</v>
      </c>
      <c r="E48" s="109">
        <f t="shared" si="0"/>
        <v>-21.213463024367172</v>
      </c>
      <c r="F48" s="109">
        <f t="shared" si="4"/>
        <v>35219.683632811299</v>
      </c>
      <c r="G48" s="109">
        <f>IF(A48=$B$4,$B$6*'Selected Economics'!J43,0)</f>
        <v>529.6306607920867</v>
      </c>
      <c r="H48" s="109">
        <f t="shared" si="1"/>
        <v>0</v>
      </c>
      <c r="I48" s="105"/>
      <c r="J48" s="105"/>
      <c r="K48" s="109">
        <f t="shared" ca="1" si="2"/>
        <v>529.6306607920867</v>
      </c>
      <c r="L48" s="64"/>
      <c r="M48" s="64"/>
      <c r="N48" s="64"/>
      <c r="O48" s="64"/>
      <c r="P48" s="64"/>
      <c r="Q48" s="64"/>
      <c r="R48" s="64"/>
      <c r="S48" s="64"/>
      <c r="T48" s="64"/>
      <c r="U48" s="64"/>
      <c r="V48" s="64"/>
      <c r="W48" s="64"/>
      <c r="X48" s="64"/>
      <c r="Y48" s="64"/>
      <c r="Z48" s="64"/>
    </row>
    <row r="49" spans="1:26">
      <c r="A49" s="108">
        <f t="shared" si="3"/>
        <v>2056</v>
      </c>
      <c r="B49" s="109">
        <f>Revenue!L44</f>
        <v>295.0970553363527</v>
      </c>
      <c r="C49" s="109">
        <f>Development!AW125</f>
        <v>0</v>
      </c>
      <c r="D49" s="109">
        <f>Operations!K52</f>
        <v>364.49307470023325</v>
      </c>
      <c r="E49" s="109">
        <f t="shared" si="0"/>
        <v>-69.396019363880555</v>
      </c>
      <c r="F49" s="109">
        <f t="shared" si="4"/>
        <v>35150.287613447421</v>
      </c>
      <c r="G49" s="109">
        <f>IF(A49=$B$4,$B$6*'Selected Economics'!J44,0)</f>
        <v>0</v>
      </c>
      <c r="H49" s="109">
        <f t="shared" si="1"/>
        <v>0</v>
      </c>
      <c r="I49" s="105"/>
      <c r="J49" s="105"/>
      <c r="K49" s="109">
        <f t="shared" ca="1" si="2"/>
        <v>0</v>
      </c>
      <c r="L49" s="64"/>
      <c r="M49" s="64"/>
      <c r="N49" s="64"/>
      <c r="O49" s="64"/>
      <c r="P49" s="64"/>
      <c r="Q49" s="64"/>
      <c r="R49" s="64"/>
      <c r="S49" s="64"/>
      <c r="T49" s="64"/>
      <c r="U49" s="64"/>
      <c r="V49" s="64"/>
      <c r="W49" s="64"/>
      <c r="X49" s="64"/>
      <c r="Y49" s="64"/>
      <c r="Z49" s="64"/>
    </row>
    <row r="50" spans="1:26">
      <c r="A50" s="108">
        <f t="shared" si="3"/>
        <v>2057</v>
      </c>
      <c r="B50" s="109">
        <f>Revenue!L45</f>
        <v>257.59266818224057</v>
      </c>
      <c r="C50" s="109">
        <f>Development!AW126</f>
        <v>0</v>
      </c>
      <c r="D50" s="109">
        <f>Operations!K53</f>
        <v>372.18265325082456</v>
      </c>
      <c r="E50" s="109">
        <f t="shared" si="0"/>
        <v>-114.58998506858399</v>
      </c>
      <c r="F50" s="109">
        <f t="shared" si="4"/>
        <v>35035.697628378839</v>
      </c>
      <c r="G50" s="109">
        <f>IF(A50=$B$4,$B$6*'Selected Economics'!J45,0)</f>
        <v>0</v>
      </c>
      <c r="H50" s="109">
        <f t="shared" si="1"/>
        <v>0</v>
      </c>
      <c r="I50" s="105"/>
      <c r="J50" s="105"/>
      <c r="K50" s="109">
        <f t="shared" ca="1" si="2"/>
        <v>0</v>
      </c>
      <c r="L50" s="64"/>
      <c r="M50" s="64"/>
      <c r="N50" s="64"/>
      <c r="O50" s="64"/>
      <c r="P50" s="64"/>
      <c r="Q50" s="64"/>
      <c r="R50" s="64"/>
      <c r="S50" s="64"/>
      <c r="T50" s="64"/>
      <c r="U50" s="64"/>
      <c r="V50" s="64"/>
      <c r="W50" s="64"/>
      <c r="X50" s="64"/>
      <c r="Y50" s="64"/>
      <c r="Z50" s="64"/>
    </row>
    <row r="51" spans="1:26">
      <c r="A51" s="108">
        <f t="shared" si="3"/>
        <v>2058</v>
      </c>
      <c r="B51" s="109">
        <f>Revenue!L46</f>
        <v>29.821610542662008</v>
      </c>
      <c r="C51" s="109">
        <f>Development!AW127</f>
        <v>0</v>
      </c>
      <c r="D51" s="109">
        <f>Operations!K54</f>
        <v>55.893702079760857</v>
      </c>
      <c r="E51" s="109">
        <f t="shared" si="0"/>
        <v>-26.072091537098849</v>
      </c>
      <c r="F51" s="109">
        <f t="shared" si="4"/>
        <v>35009.625536841741</v>
      </c>
      <c r="G51" s="109">
        <f>IF(A51=$B$4,$B$6*'Selected Economics'!J46,0)</f>
        <v>0</v>
      </c>
      <c r="H51" s="109">
        <f t="shared" si="1"/>
        <v>0</v>
      </c>
      <c r="I51" s="105"/>
      <c r="J51" s="105"/>
      <c r="K51" s="109">
        <f t="shared" ca="1" si="2"/>
        <v>0</v>
      </c>
      <c r="L51" s="64"/>
      <c r="M51" s="64"/>
      <c r="N51" s="64"/>
      <c r="O51" s="64"/>
      <c r="P51" s="64"/>
      <c r="Q51" s="64"/>
      <c r="R51" s="64"/>
      <c r="S51" s="64"/>
      <c r="T51" s="64"/>
      <c r="U51" s="64"/>
      <c r="V51" s="64"/>
      <c r="W51" s="64"/>
      <c r="X51" s="64"/>
      <c r="Y51" s="64"/>
      <c r="Z51" s="64"/>
    </row>
    <row r="52" spans="1:26">
      <c r="A52" s="108">
        <f t="shared" si="3"/>
        <v>2059</v>
      </c>
      <c r="B52" s="109">
        <f>Revenue!L47</f>
        <v>0</v>
      </c>
      <c r="C52" s="109">
        <f>Development!AW128</f>
        <v>0</v>
      </c>
      <c r="D52" s="109">
        <f>Operations!K55</f>
        <v>0</v>
      </c>
      <c r="E52" s="109">
        <f t="shared" si="0"/>
        <v>0</v>
      </c>
      <c r="F52" s="109">
        <f t="shared" si="4"/>
        <v>35009.625536841741</v>
      </c>
      <c r="G52" s="109">
        <f>IF(A52=$B$4,$B$6*'Selected Economics'!J47,0)</f>
        <v>0</v>
      </c>
      <c r="H52" s="109">
        <f t="shared" si="1"/>
        <v>0</v>
      </c>
      <c r="I52" s="105"/>
      <c r="J52" s="105"/>
      <c r="K52" s="109">
        <f t="shared" ca="1" si="2"/>
        <v>0</v>
      </c>
      <c r="L52" s="64"/>
      <c r="M52" s="64"/>
      <c r="N52" s="64"/>
      <c r="O52" s="64"/>
      <c r="P52" s="64"/>
      <c r="Q52" s="64"/>
      <c r="R52" s="64"/>
      <c r="S52" s="64"/>
      <c r="T52" s="64"/>
      <c r="U52" s="64"/>
      <c r="V52" s="64"/>
      <c r="W52" s="64"/>
      <c r="X52" s="64"/>
      <c r="Y52" s="64"/>
      <c r="Z52" s="64"/>
    </row>
    <row r="53" spans="1:26">
      <c r="A53" s="108">
        <f t="shared" si="3"/>
        <v>2060</v>
      </c>
      <c r="B53" s="109">
        <f>Revenue!L48</f>
        <v>0</v>
      </c>
      <c r="C53" s="109">
        <f>Development!AW129</f>
        <v>0</v>
      </c>
      <c r="D53" s="109">
        <f>Operations!K56</f>
        <v>0</v>
      </c>
      <c r="E53" s="109">
        <f t="shared" si="0"/>
        <v>0</v>
      </c>
      <c r="F53" s="109">
        <f t="shared" si="4"/>
        <v>35009.625536841741</v>
      </c>
      <c r="G53" s="109">
        <f>IF(A53=$B$4,$B$6*'Selected Economics'!J48,0)</f>
        <v>0</v>
      </c>
      <c r="H53" s="109">
        <f t="shared" si="1"/>
        <v>0</v>
      </c>
      <c r="I53" s="105"/>
      <c r="J53" s="105"/>
      <c r="K53" s="109">
        <f t="shared" ca="1" si="2"/>
        <v>0</v>
      </c>
      <c r="L53" s="64"/>
      <c r="M53" s="64"/>
      <c r="N53" s="64"/>
      <c r="O53" s="64"/>
      <c r="P53" s="64"/>
      <c r="Q53" s="64"/>
      <c r="R53" s="64"/>
      <c r="S53" s="64"/>
      <c r="T53" s="64"/>
      <c r="U53" s="64"/>
      <c r="V53" s="64"/>
      <c r="W53" s="64"/>
      <c r="X53" s="64"/>
      <c r="Y53" s="64"/>
      <c r="Z53" s="64"/>
    </row>
    <row r="54" spans="1:26">
      <c r="A54" s="108">
        <f t="shared" si="3"/>
        <v>2061</v>
      </c>
      <c r="B54" s="109">
        <f>Revenue!L49</f>
        <v>0</v>
      </c>
      <c r="C54" s="109">
        <f>Development!AW130</f>
        <v>0</v>
      </c>
      <c r="D54" s="109">
        <f>Operations!K57</f>
        <v>0</v>
      </c>
      <c r="E54" s="109">
        <f t="shared" si="0"/>
        <v>0</v>
      </c>
      <c r="F54" s="109">
        <f t="shared" si="4"/>
        <v>35009.625536841741</v>
      </c>
      <c r="G54" s="109">
        <f>IF(A54=$B$4,$B$6*'Selected Economics'!J49,0)</f>
        <v>0</v>
      </c>
      <c r="H54" s="109">
        <f t="shared" si="1"/>
        <v>0</v>
      </c>
      <c r="I54" s="105"/>
      <c r="J54" s="105"/>
      <c r="K54" s="109">
        <f t="shared" ca="1" si="2"/>
        <v>0</v>
      </c>
      <c r="L54" s="64"/>
      <c r="M54" s="64"/>
      <c r="N54" s="64"/>
      <c r="O54" s="64"/>
      <c r="P54" s="64"/>
      <c r="Q54" s="64"/>
      <c r="R54" s="64"/>
      <c r="S54" s="64"/>
      <c r="T54" s="64"/>
      <c r="U54" s="64"/>
      <c r="V54" s="64"/>
      <c r="W54" s="64"/>
      <c r="X54" s="64"/>
      <c r="Y54" s="64"/>
      <c r="Z54" s="64"/>
    </row>
    <row r="55" spans="1:26">
      <c r="A55" s="110">
        <f t="shared" si="3"/>
        <v>2062</v>
      </c>
      <c r="B55" s="111">
        <f>Revenue!L50</f>
        <v>0</v>
      </c>
      <c r="C55" s="111">
        <f>Development!AW131</f>
        <v>0</v>
      </c>
      <c r="D55" s="111">
        <f>Operations!K58</f>
        <v>0</v>
      </c>
      <c r="E55" s="111">
        <f t="shared" si="0"/>
        <v>0</v>
      </c>
      <c r="F55" s="111">
        <f t="shared" si="4"/>
        <v>35009.625536841741</v>
      </c>
      <c r="G55" s="111">
        <f>IF(A55=$B$4,$B$6*'Selected Economics'!J50,0)</f>
        <v>0</v>
      </c>
      <c r="H55" s="111">
        <f t="shared" si="1"/>
        <v>0</v>
      </c>
      <c r="I55" s="105"/>
      <c r="J55" s="105"/>
      <c r="K55" s="111">
        <f t="shared" ca="1" si="2"/>
        <v>0</v>
      </c>
      <c r="L55" s="64"/>
      <c r="M55" s="64"/>
      <c r="N55" s="64"/>
      <c r="O55" s="64"/>
      <c r="P55" s="64"/>
      <c r="Q55" s="64"/>
      <c r="R55" s="64"/>
      <c r="S55" s="64"/>
      <c r="T55" s="64"/>
      <c r="U55" s="64"/>
      <c r="V55" s="64"/>
      <c r="W55" s="64"/>
      <c r="X55" s="64"/>
      <c r="Y55" s="64"/>
      <c r="Z55" s="64"/>
    </row>
  </sheetData>
  <sheetProtection algorithmName="SHA-512" hashValue="4jXl9eo2JEJEpdT9bEnNQctMLEhZFQ7AV9PQoQLyJEKQUG4OmzQwn4nfc7P4zhwQMA3mdho8XYG9qJLplgD/yg==" saltValue="cS/tml8tT8TNHZkRUm71qg==" spinCount="100000" sheet="1" objects="1" scenarios="1"/>
  <hyperlinks>
    <hyperlink ref="H1" location="Guide" display="Guide" xr:uid="{00000000-0004-0000-1700-000000000000}"/>
    <hyperlink ref="H2" location="Input" display="Input" xr:uid="{00000000-0004-0000-1700-000001000000}"/>
  </hyperlinks>
  <pageMargins left="0.7" right="0.7" top="0.75" bottom="0.75" header="0.3" footer="0.3"/>
  <pageSetup paperSize="9" scale="64" orientation="portrait" r:id="rId1"/>
  <headerFooter>
    <oddFooter>&amp;LNova Scotia Exploration Economics Model&amp;Rwww.indeva.com</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theme="3" tint="0.79998168889431442"/>
    <pageSetUpPr fitToPage="1"/>
  </sheetPr>
  <dimension ref="A1:BB52"/>
  <sheetViews>
    <sheetView showGridLines="0" showRowColHeaders="0" showZeros="0" zoomScale="75" zoomScaleNormal="75" workbookViewId="0">
      <pane xSplit="1" ySplit="9" topLeftCell="J10" activePane="bottomRight" state="frozen"/>
      <selection activeCell="D43" sqref="D43"/>
      <selection pane="topRight" activeCell="D43" sqref="D43"/>
      <selection pane="bottomLeft" activeCell="D43" sqref="D43"/>
      <selection pane="bottomRight"/>
    </sheetView>
  </sheetViews>
  <sheetFormatPr defaultRowHeight="15"/>
  <cols>
    <col min="1" max="1" width="21.140625" customWidth="1"/>
    <col min="2" max="2" width="11.5703125" bestFit="1" customWidth="1"/>
    <col min="3" max="4" width="10" customWidth="1"/>
    <col min="5" max="5" width="10.28515625" customWidth="1"/>
    <col min="6" max="6" width="14" customWidth="1"/>
    <col min="7" max="7" width="11.140625" customWidth="1"/>
    <col min="8" max="8" width="11" customWidth="1"/>
    <col min="9" max="9" width="14" customWidth="1"/>
    <col min="10" max="10" width="11.140625" customWidth="1"/>
    <col min="11" max="11" width="10.42578125" customWidth="1"/>
    <col min="12" max="12" width="11.28515625" customWidth="1"/>
    <col min="13" max="13" width="10.7109375" bestFit="1" customWidth="1"/>
    <col min="14" max="14" width="10.7109375" customWidth="1"/>
    <col min="15" max="16" width="10.5703125" customWidth="1"/>
    <col min="17" max="17" width="12.5703125" customWidth="1"/>
    <col min="18" max="18" width="9.85546875" customWidth="1"/>
    <col min="19" max="19" width="14" customWidth="1"/>
    <col min="20" max="20" width="15.140625" customWidth="1"/>
    <col min="21" max="22" width="9.28515625" bestFit="1" customWidth="1"/>
    <col min="23" max="23" width="11.28515625" customWidth="1"/>
    <col min="24" max="24" width="14" customWidth="1"/>
    <col min="25" max="25" width="15.140625" customWidth="1"/>
    <col min="26" max="26" width="12.140625" customWidth="1"/>
    <col min="27" max="27" width="11.28515625" customWidth="1"/>
    <col min="28" max="28" width="14.140625" customWidth="1"/>
    <col min="29" max="29" width="14.5703125" customWidth="1"/>
    <col min="30" max="31" width="9.140625" customWidth="1"/>
    <col min="32" max="32" width="11.85546875" customWidth="1"/>
    <col min="33" max="33" width="12.5703125" customWidth="1"/>
    <col min="34" max="34" width="10.5703125" customWidth="1"/>
    <col min="35" max="35" width="11" bestFit="1" customWidth="1"/>
    <col min="36" max="37" width="11.5703125" customWidth="1"/>
    <col min="38" max="39" width="11.7109375" bestFit="1" customWidth="1"/>
    <col min="40" max="40" width="12.28515625" style="4" customWidth="1"/>
    <col min="43" max="43" width="15" customWidth="1"/>
    <col min="44" max="44" width="16.28515625" customWidth="1"/>
    <col min="45" max="45" width="17" customWidth="1"/>
    <col min="46" max="46" width="17.42578125" customWidth="1"/>
    <col min="48" max="48" width="13.140625" customWidth="1"/>
    <col min="49" max="49" width="11.7109375" customWidth="1"/>
    <col min="50" max="50" width="13" customWidth="1"/>
    <col min="51" max="51" width="14.140625" customWidth="1"/>
  </cols>
  <sheetData>
    <row r="1" spans="1:54" ht="18.75">
      <c r="A1" s="92" t="str">
        <f>Input!B10</f>
        <v>Prospect X</v>
      </c>
      <c r="B1" s="92" t="s">
        <v>10</v>
      </c>
      <c r="C1" s="92"/>
      <c r="D1" s="64"/>
      <c r="E1" s="64"/>
      <c r="F1" s="93" t="s">
        <v>756</v>
      </c>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row>
    <row r="2" spans="1:54" ht="18.75">
      <c r="A2" s="64"/>
      <c r="B2" s="64"/>
      <c r="C2" s="64"/>
      <c r="D2" s="64"/>
      <c r="E2" s="64"/>
      <c r="F2" s="93" t="s">
        <v>139</v>
      </c>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row>
    <row r="3" spans="1:54">
      <c r="A3" s="64">
        <v>1</v>
      </c>
      <c r="B3" s="64">
        <f>A3+1</f>
        <v>2</v>
      </c>
      <c r="C3" s="64">
        <f t="shared" ref="C3:AJ3" si="0">B3+1</f>
        <v>3</v>
      </c>
      <c r="D3" s="64">
        <f t="shared" si="0"/>
        <v>4</v>
      </c>
      <c r="E3" s="64">
        <f t="shared" si="0"/>
        <v>5</v>
      </c>
      <c r="F3" s="64">
        <f t="shared" si="0"/>
        <v>6</v>
      </c>
      <c r="G3" s="64">
        <f t="shared" si="0"/>
        <v>7</v>
      </c>
      <c r="H3" s="64">
        <f t="shared" si="0"/>
        <v>8</v>
      </c>
      <c r="I3" s="64">
        <f t="shared" si="0"/>
        <v>9</v>
      </c>
      <c r="J3" s="64">
        <f t="shared" si="0"/>
        <v>10</v>
      </c>
      <c r="K3" s="64">
        <f t="shared" si="0"/>
        <v>11</v>
      </c>
      <c r="L3" s="64">
        <f>K3+1</f>
        <v>12</v>
      </c>
      <c r="M3" s="64">
        <f t="shared" si="0"/>
        <v>13</v>
      </c>
      <c r="N3" s="64">
        <f t="shared" si="0"/>
        <v>14</v>
      </c>
      <c r="O3" s="64">
        <f t="shared" si="0"/>
        <v>15</v>
      </c>
      <c r="P3" s="64">
        <f t="shared" si="0"/>
        <v>16</v>
      </c>
      <c r="Q3" s="64">
        <f t="shared" si="0"/>
        <v>17</v>
      </c>
      <c r="R3" s="64">
        <f t="shared" si="0"/>
        <v>18</v>
      </c>
      <c r="S3" s="64">
        <f t="shared" si="0"/>
        <v>19</v>
      </c>
      <c r="T3" s="64">
        <f t="shared" si="0"/>
        <v>20</v>
      </c>
      <c r="U3" s="64">
        <f t="shared" si="0"/>
        <v>21</v>
      </c>
      <c r="V3" s="64">
        <f t="shared" si="0"/>
        <v>22</v>
      </c>
      <c r="W3" s="64">
        <f t="shared" si="0"/>
        <v>23</v>
      </c>
      <c r="X3" s="64">
        <f t="shared" si="0"/>
        <v>24</v>
      </c>
      <c r="Y3" s="64">
        <f t="shared" si="0"/>
        <v>25</v>
      </c>
      <c r="Z3" s="64">
        <f t="shared" si="0"/>
        <v>26</v>
      </c>
      <c r="AA3" s="64">
        <f t="shared" si="0"/>
        <v>27</v>
      </c>
      <c r="AB3" s="64">
        <f t="shared" si="0"/>
        <v>28</v>
      </c>
      <c r="AC3" s="64">
        <f t="shared" si="0"/>
        <v>29</v>
      </c>
      <c r="AD3" s="64">
        <f t="shared" si="0"/>
        <v>30</v>
      </c>
      <c r="AE3" s="64">
        <f t="shared" si="0"/>
        <v>31</v>
      </c>
      <c r="AF3" s="64">
        <f t="shared" si="0"/>
        <v>32</v>
      </c>
      <c r="AG3" s="64">
        <f t="shared" si="0"/>
        <v>33</v>
      </c>
      <c r="AH3" s="64">
        <f t="shared" si="0"/>
        <v>34</v>
      </c>
      <c r="AI3" s="64">
        <f t="shared" si="0"/>
        <v>35</v>
      </c>
      <c r="AJ3" s="64">
        <f t="shared" si="0"/>
        <v>36</v>
      </c>
      <c r="AK3" s="123" t="s">
        <v>11</v>
      </c>
      <c r="AL3" s="179">
        <f>VLOOKUP(Abandonment!B4,$A$12:$AG$51,33)</f>
        <v>529.6306607920867</v>
      </c>
      <c r="AM3" s="64"/>
      <c r="AN3" s="64"/>
      <c r="AO3" s="64"/>
      <c r="AP3" s="64"/>
      <c r="AQ3" s="64"/>
      <c r="AR3" s="64"/>
      <c r="AS3" s="64"/>
      <c r="AT3" s="64"/>
      <c r="AU3" s="64"/>
      <c r="AV3" s="64"/>
      <c r="AW3" s="64"/>
      <c r="AX3" s="64"/>
      <c r="AY3" s="64"/>
      <c r="AZ3" s="64"/>
      <c r="BA3" s="64"/>
      <c r="BB3" s="64"/>
    </row>
    <row r="4" spans="1:54">
      <c r="A4" s="64"/>
      <c r="B4" s="64"/>
      <c r="C4" s="64"/>
      <c r="D4" s="64"/>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123" t="s">
        <v>12</v>
      </c>
      <c r="AL4" s="129">
        <f>SUM(AK12:AK51)</f>
        <v>111.12391802903301</v>
      </c>
      <c r="AM4" s="64"/>
      <c r="AN4" s="64"/>
      <c r="AO4" s="64"/>
      <c r="AP4" s="64"/>
      <c r="AQ4" s="64"/>
      <c r="AR4" s="64"/>
      <c r="AS4" s="64"/>
      <c r="AT4" s="64"/>
      <c r="AU4" s="64"/>
      <c r="AV4" s="64"/>
      <c r="AW4" s="64"/>
      <c r="AX4" s="64"/>
      <c r="AY4" s="64"/>
      <c r="AZ4" s="64"/>
      <c r="BA4" s="64"/>
      <c r="BB4" s="64"/>
    </row>
    <row r="5" spans="1:54">
      <c r="A5" s="89" t="s">
        <v>14</v>
      </c>
      <c r="B5" s="89" t="s">
        <v>15</v>
      </c>
      <c r="C5" s="89" t="s">
        <v>16</v>
      </c>
      <c r="D5" s="89" t="s">
        <v>17</v>
      </c>
      <c r="E5" s="89" t="s">
        <v>18</v>
      </c>
      <c r="F5" s="89" t="s">
        <v>19</v>
      </c>
      <c r="G5" s="89" t="s">
        <v>20</v>
      </c>
      <c r="H5" s="89" t="s">
        <v>21</v>
      </c>
      <c r="I5" s="89" t="s">
        <v>22</v>
      </c>
      <c r="J5" s="89" t="s">
        <v>23</v>
      </c>
      <c r="K5" s="89" t="s">
        <v>24</v>
      </c>
      <c r="L5" s="657" t="s">
        <v>25</v>
      </c>
      <c r="M5" s="658"/>
      <c r="N5" s="659"/>
      <c r="O5" s="660" t="s">
        <v>26</v>
      </c>
      <c r="P5" s="661"/>
      <c r="Q5" s="662"/>
      <c r="R5" s="89" t="s">
        <v>27</v>
      </c>
      <c r="S5" s="660" t="s">
        <v>28</v>
      </c>
      <c r="T5" s="661"/>
      <c r="U5" s="661"/>
      <c r="V5" s="662"/>
      <c r="W5" s="89" t="s">
        <v>29</v>
      </c>
      <c r="X5" s="660" t="s">
        <v>30</v>
      </c>
      <c r="Y5" s="661"/>
      <c r="Z5" s="661"/>
      <c r="AA5" s="662"/>
      <c r="AB5" s="660" t="s">
        <v>31</v>
      </c>
      <c r="AC5" s="661"/>
      <c r="AD5" s="661"/>
      <c r="AE5" s="662"/>
      <c r="AF5" s="89" t="s">
        <v>32</v>
      </c>
      <c r="AG5" s="89" t="s">
        <v>33</v>
      </c>
      <c r="AH5" s="89" t="s">
        <v>34</v>
      </c>
      <c r="AI5" s="89" t="s">
        <v>35</v>
      </c>
      <c r="AJ5" s="89" t="s">
        <v>36</v>
      </c>
      <c r="AK5" s="89" t="s">
        <v>37</v>
      </c>
      <c r="AL5" s="89" t="s">
        <v>38</v>
      </c>
      <c r="AM5" s="89" t="s">
        <v>39</v>
      </c>
      <c r="AN5" s="64"/>
      <c r="AO5" s="64"/>
      <c r="AP5" s="64"/>
      <c r="AQ5" s="657" t="s">
        <v>40</v>
      </c>
      <c r="AR5" s="658"/>
      <c r="AS5" s="658"/>
      <c r="AT5" s="659"/>
      <c r="AU5" s="64"/>
      <c r="AV5" s="64"/>
      <c r="AW5" s="64"/>
      <c r="AX5" s="64"/>
      <c r="AY5" s="64"/>
      <c r="AZ5" s="64"/>
      <c r="BA5" s="64"/>
      <c r="BB5" s="64"/>
    </row>
    <row r="6" spans="1:54">
      <c r="A6" s="90"/>
      <c r="B6" s="90"/>
      <c r="C6" s="90" t="s">
        <v>41</v>
      </c>
      <c r="D6" s="90" t="s">
        <v>41</v>
      </c>
      <c r="E6" s="90" t="s">
        <v>41</v>
      </c>
      <c r="F6" s="90" t="s">
        <v>42</v>
      </c>
      <c r="G6" s="90" t="s">
        <v>43</v>
      </c>
      <c r="H6" s="90" t="s">
        <v>44</v>
      </c>
      <c r="I6" s="90" t="s">
        <v>45</v>
      </c>
      <c r="J6" s="90" t="s">
        <v>20</v>
      </c>
      <c r="K6" s="90" t="s">
        <v>46</v>
      </c>
      <c r="L6" s="104" t="s">
        <v>47</v>
      </c>
      <c r="M6" s="104" t="s">
        <v>48</v>
      </c>
      <c r="N6" s="104" t="s">
        <v>49</v>
      </c>
      <c r="O6" s="89" t="s">
        <v>47</v>
      </c>
      <c r="P6" s="89" t="s">
        <v>48</v>
      </c>
      <c r="Q6" s="89" t="s">
        <v>49</v>
      </c>
      <c r="R6" s="90" t="s">
        <v>23</v>
      </c>
      <c r="S6" s="89" t="s">
        <v>50</v>
      </c>
      <c r="T6" s="89" t="s">
        <v>51</v>
      </c>
      <c r="U6" s="89" t="s">
        <v>52</v>
      </c>
      <c r="V6" s="89" t="s">
        <v>53</v>
      </c>
      <c r="W6" s="90" t="s">
        <v>15</v>
      </c>
      <c r="X6" s="104" t="s">
        <v>50</v>
      </c>
      <c r="Y6" s="104" t="s">
        <v>51</v>
      </c>
      <c r="Z6" s="104" t="s">
        <v>52</v>
      </c>
      <c r="AA6" s="104" t="s">
        <v>53</v>
      </c>
      <c r="AB6" s="104" t="s">
        <v>50</v>
      </c>
      <c r="AC6" s="104" t="s">
        <v>51</v>
      </c>
      <c r="AD6" s="104" t="s">
        <v>52</v>
      </c>
      <c r="AE6" s="104" t="s">
        <v>53</v>
      </c>
      <c r="AF6" s="90" t="s">
        <v>54</v>
      </c>
      <c r="AG6" s="90" t="s">
        <v>55</v>
      </c>
      <c r="AH6" s="90" t="s">
        <v>55</v>
      </c>
      <c r="AI6" s="90" t="s">
        <v>56</v>
      </c>
      <c r="AJ6" s="90" t="s">
        <v>38</v>
      </c>
      <c r="AK6" s="90" t="s">
        <v>58</v>
      </c>
      <c r="AL6" s="90" t="s">
        <v>37</v>
      </c>
      <c r="AM6" s="90" t="s">
        <v>59</v>
      </c>
      <c r="AN6" s="64"/>
      <c r="AO6" s="64"/>
      <c r="AP6" s="64"/>
      <c r="AQ6" s="89" t="s">
        <v>60</v>
      </c>
      <c r="AR6" s="89" t="s">
        <v>47</v>
      </c>
      <c r="AS6" s="89" t="s">
        <v>48</v>
      </c>
      <c r="AT6" s="89" t="s">
        <v>49</v>
      </c>
      <c r="AU6" s="64"/>
      <c r="AV6" s="64"/>
      <c r="AW6" s="64"/>
      <c r="AX6" s="64"/>
      <c r="AY6" s="64"/>
      <c r="AZ6" s="64"/>
      <c r="BA6" s="64"/>
      <c r="BB6" s="64"/>
    </row>
    <row r="7" spans="1:54">
      <c r="A7" s="97"/>
      <c r="B7" s="97"/>
      <c r="C7" s="97"/>
      <c r="D7" s="180"/>
      <c r="E7" s="180"/>
      <c r="F7" s="97"/>
      <c r="G7" s="97" t="s">
        <v>38</v>
      </c>
      <c r="H7" s="97"/>
      <c r="I7" s="97" t="s">
        <v>61</v>
      </c>
      <c r="J7" s="97"/>
      <c r="K7" s="97"/>
      <c r="L7" s="86">
        <v>0.05</v>
      </c>
      <c r="M7" s="86">
        <v>0.2</v>
      </c>
      <c r="N7" s="86">
        <v>0.45</v>
      </c>
      <c r="O7" s="97"/>
      <c r="P7" s="97"/>
      <c r="Q7" s="97"/>
      <c r="R7" s="110"/>
      <c r="S7" s="110"/>
      <c r="T7" s="110"/>
      <c r="U7" s="110"/>
      <c r="V7" s="110"/>
      <c r="W7" s="110"/>
      <c r="X7" s="181">
        <v>0.02</v>
      </c>
      <c r="Y7" s="181">
        <v>0.05</v>
      </c>
      <c r="Z7" s="181">
        <v>0.2</v>
      </c>
      <c r="AA7" s="182">
        <f>IF(Input!B37="Yes",0.2,0.35)</f>
        <v>0.35</v>
      </c>
      <c r="AB7" s="181">
        <v>0.02</v>
      </c>
      <c r="AC7" s="181">
        <v>0.05</v>
      </c>
      <c r="AD7" s="181">
        <v>0.2</v>
      </c>
      <c r="AE7" s="182">
        <f>AA7</f>
        <v>0.35</v>
      </c>
      <c r="AF7" s="97"/>
      <c r="AG7" s="97"/>
      <c r="AH7" s="97"/>
      <c r="AI7" s="97"/>
      <c r="AJ7" s="97"/>
      <c r="AK7" s="97"/>
      <c r="AL7" s="97"/>
      <c r="AM7" s="97" t="s">
        <v>62</v>
      </c>
      <c r="AN7" s="64"/>
      <c r="AO7" s="64"/>
      <c r="AP7" s="64"/>
      <c r="AQ7" s="97"/>
      <c r="AR7" s="97"/>
      <c r="AS7" s="97"/>
      <c r="AT7" s="97"/>
      <c r="AU7" s="64"/>
      <c r="AV7" s="64"/>
      <c r="AW7" s="64"/>
      <c r="AX7" s="64"/>
      <c r="AY7" s="64"/>
      <c r="AZ7" s="64"/>
      <c r="BA7" s="64"/>
      <c r="BB7" s="64"/>
    </row>
    <row r="8" spans="1:54">
      <c r="A8" s="115"/>
      <c r="B8" s="64"/>
      <c r="C8" s="64"/>
      <c r="D8" s="143"/>
      <c r="E8" s="143"/>
      <c r="F8" s="64"/>
      <c r="G8" s="64"/>
      <c r="H8" s="64"/>
      <c r="I8" s="64"/>
      <c r="J8" s="64"/>
      <c r="K8" s="64"/>
      <c r="L8" s="141"/>
      <c r="M8" s="141"/>
      <c r="N8" s="141"/>
      <c r="O8" s="64"/>
      <c r="P8" s="64"/>
      <c r="Q8" s="64"/>
      <c r="R8" s="64"/>
      <c r="S8" s="64"/>
      <c r="T8" s="64"/>
      <c r="U8" s="64"/>
      <c r="V8" s="64"/>
      <c r="W8" s="64"/>
      <c r="X8" s="143"/>
      <c r="Y8" s="143"/>
      <c r="Z8" s="143"/>
      <c r="AA8" s="118"/>
      <c r="AB8" s="118"/>
      <c r="AC8" s="118"/>
      <c r="AD8" s="118"/>
      <c r="AE8" s="118"/>
      <c r="AF8" s="64"/>
      <c r="AG8" s="64"/>
      <c r="AH8" s="64"/>
      <c r="AI8" s="64"/>
      <c r="AJ8" s="64"/>
      <c r="AK8" s="64"/>
      <c r="AL8" s="64"/>
      <c r="AM8" s="64"/>
      <c r="AN8" s="64"/>
      <c r="AO8" s="64"/>
      <c r="AP8" s="64"/>
      <c r="AQ8" s="64"/>
      <c r="AR8" s="64"/>
      <c r="AS8" s="64"/>
      <c r="AT8" s="64"/>
      <c r="AU8" s="64"/>
      <c r="AV8" s="64"/>
      <c r="AW8" s="64"/>
      <c r="AX8" s="64"/>
      <c r="AY8" s="64"/>
      <c r="AZ8" s="64"/>
      <c r="BA8" s="64"/>
      <c r="BB8" s="64"/>
    </row>
    <row r="9" spans="1:54">
      <c r="A9" s="104" t="s">
        <v>13</v>
      </c>
      <c r="B9" s="100">
        <f>SUM(B12:B51)</f>
        <v>52220.912964706127</v>
      </c>
      <c r="C9" s="100">
        <f t="shared" ref="C9:H9" si="1">SUM(C12:C51)</f>
        <v>449.22838039156284</v>
      </c>
      <c r="D9" s="100">
        <f t="shared" si="1"/>
        <v>7710.5722954077883</v>
      </c>
      <c r="E9" s="100">
        <f t="shared" si="1"/>
        <v>10280.364460758914</v>
      </c>
      <c r="F9" s="100">
        <f t="shared" si="1"/>
        <v>529.6306607920867</v>
      </c>
      <c r="G9" s="100">
        <f t="shared" si="1"/>
        <v>231.9977315801053</v>
      </c>
      <c r="H9" s="100">
        <f t="shared" si="1"/>
        <v>19201.793528930459</v>
      </c>
      <c r="I9" s="100"/>
      <c r="J9" s="100"/>
      <c r="K9" s="100"/>
      <c r="L9" s="100">
        <f>SUM(L12:L51)</f>
        <v>1089.2772219750782</v>
      </c>
      <c r="M9" s="100">
        <f>SUM(M12:M51)</f>
        <v>3267.8316659252341</v>
      </c>
      <c r="N9" s="100">
        <f>SUM(N12:N51)</f>
        <v>6898.7557391754935</v>
      </c>
      <c r="O9" s="100"/>
      <c r="P9" s="100"/>
      <c r="Q9" s="100"/>
      <c r="R9" s="100"/>
      <c r="S9" s="100"/>
      <c r="T9" s="100"/>
      <c r="U9" s="100"/>
      <c r="V9" s="100"/>
      <c r="W9" s="100">
        <f t="shared" ref="W9:AF9" si="2">SUM(W12:W51)</f>
        <v>33251.117167355762</v>
      </c>
      <c r="X9" s="100">
        <f t="shared" si="2"/>
        <v>1044.4182592941222</v>
      </c>
      <c r="Y9" s="100">
        <f t="shared" si="2"/>
        <v>2611.0456482353065</v>
      </c>
      <c r="Z9" s="100">
        <f t="shared" si="2"/>
        <v>8114.6107532086553</v>
      </c>
      <c r="AA9" s="100">
        <f t="shared" si="2"/>
        <v>14074.884179409479</v>
      </c>
      <c r="AB9" s="100"/>
      <c r="AC9" s="100"/>
      <c r="AD9" s="100"/>
      <c r="AE9" s="100"/>
      <c r="AF9" s="100">
        <f t="shared" si="2"/>
        <v>10433.834951626352</v>
      </c>
      <c r="AG9" s="100"/>
      <c r="AH9" s="100"/>
      <c r="AI9" s="100">
        <f>SUM(AI12:AI51)</f>
        <v>529.6306607920867</v>
      </c>
      <c r="AJ9" s="100">
        <f>SUM(AJ12:AJ51)</f>
        <v>10322.711033597318</v>
      </c>
      <c r="AK9" s="100">
        <f>SUM(AK12:AK51)</f>
        <v>111.12391802903301</v>
      </c>
      <c r="AL9" s="100">
        <f>SUM(AL12:AL51)</f>
        <v>111.12391802903301</v>
      </c>
      <c r="AM9" s="100">
        <f>SUM(AM12:AM51)</f>
        <v>10322.711033597319</v>
      </c>
      <c r="AN9" s="64"/>
      <c r="AO9" s="64"/>
      <c r="AP9" s="64"/>
      <c r="AQ9" s="183">
        <f>MAX(AQ13:AQ51)</f>
        <v>48761</v>
      </c>
      <c r="AR9" s="183">
        <f>MAX(AR13:AR51)</f>
        <v>48853</v>
      </c>
      <c r="AS9" s="183">
        <f>MAX(AS13:AS51)</f>
        <v>49065</v>
      </c>
      <c r="AT9" s="183">
        <f>MAX(AT13:AT51)</f>
        <v>49369</v>
      </c>
      <c r="AU9" s="64"/>
      <c r="AV9" s="64"/>
      <c r="AW9" s="64"/>
      <c r="AX9" s="64"/>
      <c r="AY9" s="64"/>
      <c r="AZ9" s="64"/>
      <c r="BA9" s="64"/>
      <c r="BB9" s="64"/>
    </row>
    <row r="10" spans="1:54">
      <c r="A10" s="115"/>
      <c r="B10" s="105"/>
      <c r="C10" s="105"/>
      <c r="D10" s="105"/>
      <c r="E10" s="105"/>
      <c r="F10" s="105"/>
      <c r="G10" s="105"/>
      <c r="H10" s="105"/>
      <c r="I10" s="105"/>
      <c r="J10" s="105"/>
      <c r="K10" s="105"/>
      <c r="L10" s="105"/>
      <c r="M10" s="105"/>
      <c r="N10" s="105"/>
      <c r="O10" s="105"/>
      <c r="P10" s="105"/>
      <c r="Q10" s="105"/>
      <c r="R10" s="105"/>
      <c r="S10" s="105"/>
      <c r="T10" s="105"/>
      <c r="U10" s="105"/>
      <c r="V10" s="105"/>
      <c r="W10" s="105"/>
      <c r="X10" s="105"/>
      <c r="Y10" s="105"/>
      <c r="Z10" s="105"/>
      <c r="AA10" s="105"/>
      <c r="AB10" s="105"/>
      <c r="AC10" s="105"/>
      <c r="AD10" s="105"/>
      <c r="AE10" s="105"/>
      <c r="AF10" s="105"/>
      <c r="AG10" s="105"/>
      <c r="AH10" s="105"/>
      <c r="AI10" s="105"/>
      <c r="AJ10" s="105"/>
      <c r="AK10" s="105"/>
      <c r="AL10" s="105"/>
      <c r="AM10" s="105"/>
      <c r="AN10" s="64"/>
      <c r="AO10" s="64"/>
      <c r="AP10" s="64"/>
      <c r="AQ10" s="64"/>
      <c r="AR10" s="64"/>
      <c r="AS10" s="64"/>
      <c r="AT10" s="64"/>
      <c r="AU10" s="64"/>
      <c r="AV10" s="64"/>
      <c r="AW10" s="64"/>
      <c r="AX10" s="64"/>
      <c r="AY10" s="64"/>
      <c r="AZ10" s="64"/>
      <c r="BA10" s="64"/>
      <c r="BB10" s="64"/>
    </row>
    <row r="11" spans="1:54">
      <c r="A11" s="104" t="s">
        <v>63</v>
      </c>
      <c r="B11" s="100"/>
      <c r="C11" s="100">
        <f>IF('Historic Costs'!D11=Lists!A38,'Historic Costs'!E11,IF(noteco=1,0,Exploration!V25))</f>
        <v>0</v>
      </c>
      <c r="D11" s="100"/>
      <c r="E11" s="100"/>
      <c r="F11" s="100"/>
      <c r="G11" s="100"/>
      <c r="H11" s="100">
        <f>SUM(C11:G11)</f>
        <v>0</v>
      </c>
      <c r="I11" s="100">
        <f>I8+H11-B11</f>
        <v>0</v>
      </c>
      <c r="J11" s="100"/>
      <c r="K11" s="100"/>
      <c r="L11" s="100"/>
      <c r="M11" s="100"/>
      <c r="N11" s="100"/>
      <c r="O11" s="100">
        <f>$I11</f>
        <v>0</v>
      </c>
      <c r="P11" s="100">
        <f>$I11</f>
        <v>0</v>
      </c>
      <c r="Q11" s="100">
        <f>$I11</f>
        <v>0</v>
      </c>
      <c r="R11" s="100">
        <v>0</v>
      </c>
      <c r="S11" s="100"/>
      <c r="T11" s="100"/>
      <c r="U11" s="100"/>
      <c r="V11" s="100"/>
      <c r="W11" s="100"/>
      <c r="X11" s="100"/>
      <c r="Y11" s="100"/>
      <c r="Z11" s="100"/>
      <c r="AA11" s="100"/>
      <c r="AB11" s="100"/>
      <c r="AC11" s="100"/>
      <c r="AD11" s="100"/>
      <c r="AE11" s="100"/>
      <c r="AF11" s="100"/>
      <c r="AG11" s="100"/>
      <c r="AH11" s="100"/>
      <c r="AI11" s="100"/>
      <c r="AJ11" s="100"/>
      <c r="AK11" s="100"/>
      <c r="AL11" s="100"/>
      <c r="AM11" s="100"/>
      <c r="AN11" s="64"/>
      <c r="AO11" s="64"/>
      <c r="AP11" s="64"/>
      <c r="AQ11" s="64"/>
      <c r="AR11" s="64"/>
      <c r="AS11" s="64"/>
      <c r="AT11" s="64"/>
      <c r="AU11" s="64"/>
      <c r="AV11" s="64"/>
      <c r="AW11" s="64"/>
      <c r="AX11" s="64"/>
      <c r="AY11" s="64"/>
      <c r="AZ11" s="64"/>
      <c r="BA11" s="64"/>
      <c r="BB11" s="64"/>
    </row>
    <row r="12" spans="1:54">
      <c r="A12" s="89">
        <f>'Success Cash Flow'!A10</f>
        <v>2023</v>
      </c>
      <c r="B12" s="107">
        <f>'Success Cash Flow'!E10</f>
        <v>0</v>
      </c>
      <c r="C12" s="107">
        <f>IF(noteco=Lists!A$85,0,Exploration!AB37)</f>
        <v>9.6278000000000006</v>
      </c>
      <c r="D12" s="107">
        <f>Development!BP92</f>
        <v>0</v>
      </c>
      <c r="E12" s="107">
        <f>Operations!S19</f>
        <v>0</v>
      </c>
      <c r="F12" s="107">
        <f>Abandonment!G16</f>
        <v>0</v>
      </c>
      <c r="G12" s="107">
        <f t="shared" ref="G12:G51" si="3">IF(I11&lt;0,0,X12)</f>
        <v>0</v>
      </c>
      <c r="H12" s="107">
        <f>SUM(C12:G12)</f>
        <v>9.6278000000000006</v>
      </c>
      <c r="I12" s="107">
        <f>I11+H12-B12</f>
        <v>9.6278000000000006</v>
      </c>
      <c r="J12" s="107">
        <f>IF(A12&lt;Development!$C$6,0,IF(A12=Development!C$6,Development!$D$6,IF(I12&lt;0,IF(I11&gt;0,ROUNDDOWN(-I11/(I12-I11)*12,0),0),12)))</f>
        <v>0</v>
      </c>
      <c r="K12" s="107">
        <f>IF(OR(A12&lt;Development!$C$6,A12&gt;Abandonment!$B$4),0,(J12*I11-(I11-I12)*J12*(J12+1)/24)/12)</f>
        <v>0</v>
      </c>
      <c r="L12" s="107">
        <f>$K12*(L$7+'Selected Economics'!$G11)</f>
        <v>0</v>
      </c>
      <c r="M12" s="107">
        <f>$K12*(M$7+'Selected Economics'!$G11)</f>
        <v>0</v>
      </c>
      <c r="N12" s="107">
        <f>$K12*(N$7+'Selected Economics'!$G11)</f>
        <v>0</v>
      </c>
      <c r="O12" s="107">
        <f t="shared" ref="O12:O28" si="4">$H12-$B12+L12+O11</f>
        <v>9.6278000000000006</v>
      </c>
      <c r="P12" s="107">
        <f t="shared" ref="P12:Q27" si="5">$H12-$B12+M12+P11</f>
        <v>9.6278000000000006</v>
      </c>
      <c r="Q12" s="107">
        <f t="shared" si="5"/>
        <v>9.6278000000000006</v>
      </c>
      <c r="R12" s="107">
        <f>IF(A12=Production!$B$4,Production!$B$5,IF(A12&lt;Production!$B$4,0,12+R11))</f>
        <v>0</v>
      </c>
      <c r="S12" s="107">
        <f>MIN($R12,IF(O12&lt;0,MAX(IF(Input!$B$36="Yes",MIN(12,24-R11),0),IF(AND(O11&gt;0,O12&lt;0),ROUNDDOWN(-O11/(O12-O11)*12,0)+0.5),0),12))</f>
        <v>0</v>
      </c>
      <c r="T12" s="107">
        <f>MAX(0,MIN($R12,IF(P12&lt;0,MAX(IF(Input!$B$36="Yes",MIN(12,36-SUM(T11:T$11)),0),IF(AND(P11&gt;0,P12&lt;0),ROUNDDOWN(-P11/(P12-P11)*12,0)+0.5),0),12))-S12)</f>
        <v>0</v>
      </c>
      <c r="U12" s="107">
        <f>MAX(0,MIN($R12,IF(AND(Q11&gt;0,Q12&lt;0),ROUNDDOWN(-Q11/(Q12-Q11)*12,0)+0.5,IF(AND(Q12&gt;0,MIN(Q$11:Q11)&gt;=0),12,0)))-SUM(S12:T12))</f>
        <v>0</v>
      </c>
      <c r="V12" s="107">
        <f t="shared" ref="V12:V51" si="6">MAX(0,MIN(R12,12)-SUM(S12:U12))</f>
        <v>0</v>
      </c>
      <c r="W12" s="107">
        <f>B12-C12-D12-E12-F12</f>
        <v>-9.6278000000000006</v>
      </c>
      <c r="X12" s="107">
        <f>X$7*$B12</f>
        <v>0</v>
      </c>
      <c r="Y12" s="107">
        <f t="shared" ref="Y12:Y51" si="7">Y$7*$B12</f>
        <v>0</v>
      </c>
      <c r="Z12" s="107">
        <f>MAX($Y12,Z$7*$W12)</f>
        <v>0</v>
      </c>
      <c r="AA12" s="107">
        <f t="shared" ref="AA12:AA51" si="8">MAX($Y12,AA$7*$W12)</f>
        <v>0</v>
      </c>
      <c r="AB12" s="107">
        <f>IF($R12=0,0,X12*S12/MIN($R12,12))</f>
        <v>0</v>
      </c>
      <c r="AC12" s="107">
        <f t="shared" ref="AC12:AE51" si="9">IF($R12=0,0,Y12*T12/MIN($R12,12))</f>
        <v>0</v>
      </c>
      <c r="AD12" s="107">
        <f t="shared" si="9"/>
        <v>0</v>
      </c>
      <c r="AE12" s="107">
        <f t="shared" si="9"/>
        <v>0</v>
      </c>
      <c r="AF12" s="107">
        <f>SUM(AB12:AE12)</f>
        <v>0</v>
      </c>
      <c r="AG12" s="107">
        <f>IF(A12=Abandonment!$B$4,-W12,0)</f>
        <v>0</v>
      </c>
      <c r="AH12" s="107">
        <f>IF(W12&gt;0,W12,0)</f>
        <v>0</v>
      </c>
      <c r="AI12" s="107">
        <f>MIN(AH12,MAX(0,$AL$3-SUM(AI13:AI$52)))</f>
        <v>0</v>
      </c>
      <c r="AJ12" s="107">
        <f>IF(AI12&lt;=0,AF12,MAX((AH12-AI12)/AH12*AF12,(X12*S12+Y12*(MIN(12,R12)-S12))/MIN(12,R12)))</f>
        <v>0</v>
      </c>
      <c r="AK12" s="107">
        <f t="shared" ref="AK12:AK51" si="10">AF12-AJ12</f>
        <v>0</v>
      </c>
      <c r="AL12" s="107">
        <f>IF($A12=Abandonment!$B$4,LossRec,0)</f>
        <v>0</v>
      </c>
      <c r="AM12" s="107">
        <f t="shared" ref="AM12:AM51" si="11">AF12-AL12</f>
        <v>0</v>
      </c>
      <c r="AN12" s="64"/>
      <c r="AO12" s="64"/>
      <c r="AP12" s="64"/>
      <c r="AQ12" s="106"/>
      <c r="AR12" s="106"/>
      <c r="AS12" s="106"/>
      <c r="AT12" s="106"/>
      <c r="AU12" s="64"/>
      <c r="AV12" s="64"/>
      <c r="AW12" s="64"/>
      <c r="AX12" s="64"/>
      <c r="AY12" s="64"/>
      <c r="AZ12" s="64"/>
      <c r="BA12" s="64"/>
      <c r="BB12" s="64"/>
    </row>
    <row r="13" spans="1:54">
      <c r="A13" s="90">
        <f>A12+1</f>
        <v>2024</v>
      </c>
      <c r="B13" s="109">
        <f>'Success Cash Flow'!E11</f>
        <v>0</v>
      </c>
      <c r="C13" s="109">
        <f>IF(noteco=Lists!A$85,0,Exploration!AB38)</f>
        <v>74.852665618512248</v>
      </c>
      <c r="D13" s="109">
        <f>Development!BP93</f>
        <v>0</v>
      </c>
      <c r="E13" s="109">
        <f>Operations!S20</f>
        <v>0</v>
      </c>
      <c r="F13" s="109">
        <f>Abandonment!G17</f>
        <v>0</v>
      </c>
      <c r="G13" s="109">
        <f t="shared" si="3"/>
        <v>0</v>
      </c>
      <c r="H13" s="109">
        <f t="shared" ref="H13:H51" si="12">SUM(C13:G13)</f>
        <v>74.852665618512248</v>
      </c>
      <c r="I13" s="109">
        <f t="shared" ref="I13:I51" si="13">I12+H13-B13</f>
        <v>84.480465618512255</v>
      </c>
      <c r="J13" s="109">
        <f>IF(A13&lt;Development!$C$6,0,IF(A13=Development!C$6,Development!$D$6,IF(I13&lt;0,IF(I12&gt;0,ROUNDDOWN(-I12/(I13-I12)*12,0),0),12)))</f>
        <v>0</v>
      </c>
      <c r="K13" s="109">
        <f>IF(OR(A13&lt;Development!$C$6,A13&gt;Abandonment!$B$4),0,(J13*I12-(I12-I13)*J13*(J13+1)/24)/12)</f>
        <v>0</v>
      </c>
      <c r="L13" s="109">
        <f>$K13*(L$7+'Selected Economics'!$G12)</f>
        <v>0</v>
      </c>
      <c r="M13" s="109">
        <f>$K13*(M$7+'Selected Economics'!$G12)</f>
        <v>0</v>
      </c>
      <c r="N13" s="109">
        <f>$K13*(N$7+'Selected Economics'!$G12)</f>
        <v>0</v>
      </c>
      <c r="O13" s="109">
        <f t="shared" si="4"/>
        <v>84.480465618512255</v>
      </c>
      <c r="P13" s="109">
        <f t="shared" si="5"/>
        <v>84.480465618512255</v>
      </c>
      <c r="Q13" s="109">
        <f t="shared" si="5"/>
        <v>84.480465618512255</v>
      </c>
      <c r="R13" s="109">
        <f>IF(A13=Production!$B$4,Production!$B$5,IF(A13&lt;Production!$B$4,0,12+R12))</f>
        <v>0</v>
      </c>
      <c r="S13" s="109">
        <f>MIN($R13,IF(O13&lt;0,MAX(IF(Input!$B$36="Yes",MIN(12,24-R12),0),IF(AND(O12&gt;0,O13&lt;0),ROUNDDOWN(-O12/(O13-O12)*12,0)+0.5),0),12))</f>
        <v>0</v>
      </c>
      <c r="T13" s="109">
        <f>MAX(0,MIN($R13,IF(P13&lt;0,MAX(IF(Input!$B$36="Yes",MIN(12,36-SUM(T$11:T12)),0),IF(AND(P12&gt;0,P13&lt;0),ROUNDDOWN(-P12/(P13-P12)*12,0)+0.5),0),12))-S13)</f>
        <v>0</v>
      </c>
      <c r="U13" s="109">
        <f>MAX(0,MIN($R13,IF(AND(Q12&gt;0,Q13&lt;0),ROUNDDOWN(-Q12/(Q13-Q12)*12,0)+0.5,IF(AND(Q13&gt;0,MIN(Q$11:Q12)&gt;=0),12,0)))-SUM(S13:T13))</f>
        <v>0</v>
      </c>
      <c r="V13" s="109">
        <f t="shared" si="6"/>
        <v>0</v>
      </c>
      <c r="W13" s="109">
        <f t="shared" ref="W13:W51" si="14">B13-C13-D13-E13-F13</f>
        <v>-74.852665618512248</v>
      </c>
      <c r="X13" s="109">
        <f t="shared" ref="X13:X51" si="15">X$7*$B13</f>
        <v>0</v>
      </c>
      <c r="Y13" s="109">
        <f t="shared" si="7"/>
        <v>0</v>
      </c>
      <c r="Z13" s="109">
        <f t="shared" ref="Z13:Z51" si="16">MAX($Y13,Z$7*$W13)</f>
        <v>0</v>
      </c>
      <c r="AA13" s="109">
        <f t="shared" si="8"/>
        <v>0</v>
      </c>
      <c r="AB13" s="109">
        <f t="shared" ref="AB13:AB51" si="17">IF($R13=0,0,X13*S13/MIN($R13,12))</f>
        <v>0</v>
      </c>
      <c r="AC13" s="109">
        <f t="shared" si="9"/>
        <v>0</v>
      </c>
      <c r="AD13" s="109">
        <f t="shared" si="9"/>
        <v>0</v>
      </c>
      <c r="AE13" s="109">
        <f t="shared" si="9"/>
        <v>0</v>
      </c>
      <c r="AF13" s="109">
        <f t="shared" ref="AF13:AF51" si="18">SUM(AB13:AE13)</f>
        <v>0</v>
      </c>
      <c r="AG13" s="109">
        <f>IF(A13=Abandonment!$B$4,-W13,0)</f>
        <v>0</v>
      </c>
      <c r="AH13" s="109">
        <f t="shared" ref="AH13:AH51" si="19">IF(W13&gt;0,W13,0)</f>
        <v>0</v>
      </c>
      <c r="AI13" s="109">
        <f>MIN(AH13,MAX(0,$AL$3-SUM(AI14:AI$52)))</f>
        <v>0</v>
      </c>
      <c r="AJ13" s="109">
        <f>IF(AI13&lt;=0,AF13,MAX((AH13-AI13)/AH13*AF13,(X13*S13+Y13*(MIN(12,R13)-S13))/MIN(12,R13)))</f>
        <v>0</v>
      </c>
      <c r="AK13" s="109">
        <f t="shared" si="10"/>
        <v>0</v>
      </c>
      <c r="AL13" s="109">
        <f>IF($A13=Abandonment!$B$4,LossRec,0)</f>
        <v>0</v>
      </c>
      <c r="AM13" s="109">
        <f t="shared" si="11"/>
        <v>0</v>
      </c>
      <c r="AN13" s="64"/>
      <c r="AO13" s="64"/>
      <c r="AP13" s="64"/>
      <c r="AQ13" s="184">
        <f>IF(AND(I13&lt;0,I12&gt;0,AQ12=0),DATE(A13,MIN(12,$R13,J13+1),1),AQ12)</f>
        <v>0</v>
      </c>
      <c r="AR13" s="184">
        <f>IF(AND(O13&lt;0,O12&gt;0,AR12=0),DATE($A13,MAX(12-$R13,0)+SUM($S13:S13)+0.5,1),AR12)</f>
        <v>0</v>
      </c>
      <c r="AS13" s="184">
        <f>IF(AND(P13&lt;0,P12&gt;0,AS12=0),DATE($A13,MAX(12-$R13,0)+SUM($S13:T13)+0.5,1),AS12)</f>
        <v>0</v>
      </c>
      <c r="AT13" s="184">
        <f>IF(AND(Q13&lt;0,Q12&gt;0,AT12=0),DATE($A13,MAX(12-$R13,0)+SUM($S13:U13)+0.5,1),AT12)</f>
        <v>0</v>
      </c>
      <c r="AU13" s="64"/>
      <c r="AV13" s="64"/>
      <c r="AW13" s="64"/>
      <c r="AX13" s="64"/>
      <c r="AY13" s="64"/>
      <c r="AZ13" s="64"/>
      <c r="BA13" s="64"/>
      <c r="BB13" s="64"/>
    </row>
    <row r="14" spans="1:54">
      <c r="A14" s="90">
        <f t="shared" ref="A14:A51" si="20">A13+1</f>
        <v>2025</v>
      </c>
      <c r="B14" s="109">
        <f>'Success Cash Flow'!E12</f>
        <v>0</v>
      </c>
      <c r="C14" s="109">
        <f>IF(noteco=Lists!A$85,0,Exploration!AB39)</f>
        <v>143.34600408396014</v>
      </c>
      <c r="D14" s="109">
        <f>Development!BP94</f>
        <v>0</v>
      </c>
      <c r="E14" s="109">
        <f>Operations!S21</f>
        <v>0</v>
      </c>
      <c r="F14" s="109">
        <f>Abandonment!G18</f>
        <v>0</v>
      </c>
      <c r="G14" s="109">
        <f t="shared" si="3"/>
        <v>0</v>
      </c>
      <c r="H14" s="109">
        <f t="shared" si="12"/>
        <v>143.34600408396014</v>
      </c>
      <c r="I14" s="109">
        <f t="shared" si="13"/>
        <v>227.82646970247239</v>
      </c>
      <c r="J14" s="109">
        <f>IF(A14&lt;Development!$C$6,0,IF(A14=Development!C$6,Development!$D$6,IF(I14&lt;0,IF(I13&gt;0,ROUNDDOWN(-I13/(I14-I13)*12,0),0),12)))</f>
        <v>0</v>
      </c>
      <c r="K14" s="109">
        <f>IF(OR(A14&lt;Development!$C$6,A14&gt;Abandonment!$B$4),0,(J14*I13-(I13-I14)*J14*(J14+1)/24)/12)</f>
        <v>0</v>
      </c>
      <c r="L14" s="109">
        <f>$K14*(L$7+'Selected Economics'!$G13)</f>
        <v>0</v>
      </c>
      <c r="M14" s="109">
        <f>$K14*(M$7+'Selected Economics'!$G13)</f>
        <v>0</v>
      </c>
      <c r="N14" s="109">
        <f>$K14*(N$7+'Selected Economics'!$G13)</f>
        <v>0</v>
      </c>
      <c r="O14" s="109">
        <f t="shared" si="4"/>
        <v>227.82646970247239</v>
      </c>
      <c r="P14" s="109">
        <f t="shared" si="5"/>
        <v>227.82646970247239</v>
      </c>
      <c r="Q14" s="109">
        <f t="shared" si="5"/>
        <v>227.82646970247239</v>
      </c>
      <c r="R14" s="109">
        <f>IF(A14=Production!$B$4,Production!$B$5,IF(A14&lt;Production!$B$4,0,12+R13))</f>
        <v>0</v>
      </c>
      <c r="S14" s="109">
        <f>MIN($R14,IF(O14&lt;0,MAX(IF(Input!$B$36="Yes",MIN(12,24-R13),0),IF(AND(O13&gt;0,O14&lt;0),ROUNDDOWN(-O13/(O14-O13)*12,0)+0.5),0),12))</f>
        <v>0</v>
      </c>
      <c r="T14" s="109">
        <f>MAX(0,MIN($R14,IF(P14&lt;0,MAX(IF(Input!$B$36="Yes",MIN(12,36-SUM(T$11:T13)),0),IF(AND(P13&gt;0,P14&lt;0),ROUNDDOWN(-P13/(P14-P13)*12,0)+0.5),0),12))-S14)</f>
        <v>0</v>
      </c>
      <c r="U14" s="109">
        <f>MAX(0,MIN($R14,IF(AND(Q13&gt;0,Q14&lt;0),ROUNDDOWN(-Q13/(Q14-Q13)*12,0)+0.5,IF(AND(Q14&gt;0,MIN(Q$11:Q13)&gt;=0),12,0)))-SUM(S14:T14))</f>
        <v>0</v>
      </c>
      <c r="V14" s="109">
        <f t="shared" si="6"/>
        <v>0</v>
      </c>
      <c r="W14" s="109">
        <f t="shared" si="14"/>
        <v>-143.34600408396014</v>
      </c>
      <c r="X14" s="109">
        <f t="shared" si="15"/>
        <v>0</v>
      </c>
      <c r="Y14" s="109">
        <f t="shared" si="7"/>
        <v>0</v>
      </c>
      <c r="Z14" s="109">
        <f t="shared" si="16"/>
        <v>0</v>
      </c>
      <c r="AA14" s="109">
        <f t="shared" si="8"/>
        <v>0</v>
      </c>
      <c r="AB14" s="109">
        <f t="shared" si="17"/>
        <v>0</v>
      </c>
      <c r="AC14" s="109">
        <f t="shared" si="9"/>
        <v>0</v>
      </c>
      <c r="AD14" s="109">
        <f t="shared" si="9"/>
        <v>0</v>
      </c>
      <c r="AE14" s="109">
        <f t="shared" si="9"/>
        <v>0</v>
      </c>
      <c r="AF14" s="109">
        <f t="shared" si="18"/>
        <v>0</v>
      </c>
      <c r="AG14" s="109">
        <f>IF(A14=Abandonment!$B$4,-W14,0)</f>
        <v>0</v>
      </c>
      <c r="AH14" s="109">
        <f t="shared" si="19"/>
        <v>0</v>
      </c>
      <c r="AI14" s="109">
        <f>MIN(AH14,MAX(0,$AL$3-SUM(AI15:AI$52)))</f>
        <v>0</v>
      </c>
      <c r="AJ14" s="109">
        <f>IF(AI14&lt;=0,AF14,MAX((AH14-AI14)/AH14*AF14,(X14*S14+Y14*(MIN(12,R14)-S14))/MIN(12,R14)))</f>
        <v>0</v>
      </c>
      <c r="AK14" s="109">
        <f t="shared" si="10"/>
        <v>0</v>
      </c>
      <c r="AL14" s="109">
        <f>IF($A14=Abandonment!$B$4,LossRec,0)</f>
        <v>0</v>
      </c>
      <c r="AM14" s="109">
        <f t="shared" si="11"/>
        <v>0</v>
      </c>
      <c r="AN14" s="64"/>
      <c r="AO14" s="64"/>
      <c r="AP14" s="64"/>
      <c r="AQ14" s="184">
        <f t="shared" ref="AQ14:AQ51" si="21">IF(AND(I14&lt;0,I13&gt;0,AQ13=0),DATE(A14,MIN(12,J14+1),1),AQ13)</f>
        <v>0</v>
      </c>
      <c r="AR14" s="184">
        <f>IF(AND(O14&lt;0,O13&gt;0,AR13=0),DATE($A14,MAX(12-$R14,0)+SUM($S14:S14)+0.5,1),AR13)</f>
        <v>0</v>
      </c>
      <c r="AS14" s="184">
        <f>IF(AND(P14&lt;0,P13&gt;0,AS13=0),DATE($A14,MAX(12-$R14,0)+SUM($S14:T14)+0.5,1),AS13)</f>
        <v>0</v>
      </c>
      <c r="AT14" s="184">
        <f>IF(AND(Q14&lt;0,Q13&gt;0,AT13=0),DATE($A14,MAX(12-$R14,0)+SUM($S14:U14)+0.5,1),AT13)</f>
        <v>0</v>
      </c>
      <c r="AU14" s="64"/>
      <c r="AV14" s="64"/>
      <c r="AW14" s="64"/>
      <c r="AX14" s="64"/>
      <c r="AY14" s="64"/>
      <c r="AZ14" s="64"/>
      <c r="BA14" s="64"/>
      <c r="BB14" s="64"/>
    </row>
    <row r="15" spans="1:54">
      <c r="A15" s="90">
        <f t="shared" si="20"/>
        <v>2026</v>
      </c>
      <c r="B15" s="109">
        <f>'Success Cash Flow'!E13</f>
        <v>0</v>
      </c>
      <c r="C15" s="109">
        <f>IF(noteco=Lists!A$85,0,Exploration!AB40)</f>
        <v>221.40191068909044</v>
      </c>
      <c r="D15" s="109">
        <f>Development!BP95</f>
        <v>0</v>
      </c>
      <c r="E15" s="109">
        <f>Operations!S22</f>
        <v>0</v>
      </c>
      <c r="F15" s="109">
        <f>Abandonment!G19</f>
        <v>0</v>
      </c>
      <c r="G15" s="109">
        <f t="shared" si="3"/>
        <v>0</v>
      </c>
      <c r="H15" s="109">
        <f t="shared" si="12"/>
        <v>221.40191068909044</v>
      </c>
      <c r="I15" s="109">
        <f t="shared" si="13"/>
        <v>449.22838039156284</v>
      </c>
      <c r="J15" s="109">
        <f>IF(A15&lt;Development!$C$6,0,IF(A15=Development!C$6,Development!$D$6,IF(I15&lt;0,IF(I14&gt;0,ROUNDDOWN(-I14/(I15-I14)*12,0),0),12)))</f>
        <v>0</v>
      </c>
      <c r="K15" s="109">
        <f>IF(OR(A15&lt;Development!$C$6,A15&gt;Abandonment!$B$4),0,(J15*I14-(I14-I15)*J15*(J15+1)/24)/12)</f>
        <v>0</v>
      </c>
      <c r="L15" s="109">
        <f>$K15*(L$7+'Selected Economics'!$G14)</f>
        <v>0</v>
      </c>
      <c r="M15" s="109">
        <f>$K15*(M$7+'Selected Economics'!$G14)</f>
        <v>0</v>
      </c>
      <c r="N15" s="109">
        <f>$K15*(N$7+'Selected Economics'!$G14)</f>
        <v>0</v>
      </c>
      <c r="O15" s="109">
        <f t="shared" si="4"/>
        <v>449.22838039156284</v>
      </c>
      <c r="P15" s="109">
        <f t="shared" si="5"/>
        <v>449.22838039156284</v>
      </c>
      <c r="Q15" s="109">
        <f t="shared" si="5"/>
        <v>449.22838039156284</v>
      </c>
      <c r="R15" s="109">
        <f>IF(A15=Production!$B$4,Production!$B$5,IF(A15&lt;Production!$B$4,0,12+R14))</f>
        <v>0</v>
      </c>
      <c r="S15" s="109">
        <f>MIN($R15,IF(O15&lt;0,MAX(IF(Input!$B$36="Yes",MIN(12,24-R14),0),IF(AND(O14&gt;0,O15&lt;0),ROUNDDOWN(-O14/(O15-O14)*12,0)+0.5),0),12))</f>
        <v>0</v>
      </c>
      <c r="T15" s="109">
        <f>MAX(0,MIN($R15,IF(P15&lt;0,MAX(IF(Input!$B$36="Yes",MIN(12,36-SUM(T$11:T14)),0),IF(AND(P14&gt;0,P15&lt;0),ROUNDDOWN(-P14/(P15-P14)*12,0)+0.5),0),12))-S15)</f>
        <v>0</v>
      </c>
      <c r="U15" s="109">
        <f>MAX(0,MIN($R15,IF(AND(Q14&gt;0,Q15&lt;0),ROUNDDOWN(-Q14/(Q15-Q14)*12,0)+0.5,IF(AND(Q15&gt;0,MIN(Q$11:Q14)&gt;=0),12,0)))-SUM(S15:T15))</f>
        <v>0</v>
      </c>
      <c r="V15" s="109">
        <f t="shared" si="6"/>
        <v>0</v>
      </c>
      <c r="W15" s="109">
        <f t="shared" si="14"/>
        <v>-221.40191068909044</v>
      </c>
      <c r="X15" s="109">
        <f t="shared" si="15"/>
        <v>0</v>
      </c>
      <c r="Y15" s="109">
        <f t="shared" si="7"/>
        <v>0</v>
      </c>
      <c r="Z15" s="109">
        <f t="shared" si="16"/>
        <v>0</v>
      </c>
      <c r="AA15" s="109">
        <f t="shared" si="8"/>
        <v>0</v>
      </c>
      <c r="AB15" s="109">
        <f t="shared" si="17"/>
        <v>0</v>
      </c>
      <c r="AC15" s="109">
        <f t="shared" si="9"/>
        <v>0</v>
      </c>
      <c r="AD15" s="109">
        <f t="shared" si="9"/>
        <v>0</v>
      </c>
      <c r="AE15" s="109">
        <f t="shared" si="9"/>
        <v>0</v>
      </c>
      <c r="AF15" s="109">
        <f t="shared" si="18"/>
        <v>0</v>
      </c>
      <c r="AG15" s="109">
        <f>IF(A15=Abandonment!$B$4,-W15,0)</f>
        <v>0</v>
      </c>
      <c r="AH15" s="109">
        <f t="shared" si="19"/>
        <v>0</v>
      </c>
      <c r="AI15" s="109">
        <f>MIN(AH15,MAX(0,$AL$3-SUM(AI16:AI$52)))</f>
        <v>0</v>
      </c>
      <c r="AJ15" s="109">
        <f>IF(AI15&lt;=0,AF15,MAX((AH15-AI15)/AH15*AF15,(X15*S15+Y15*(MIN(12,R15)-S15))/MIN(12,R15)))</f>
        <v>0</v>
      </c>
      <c r="AK15" s="109">
        <f t="shared" si="10"/>
        <v>0</v>
      </c>
      <c r="AL15" s="109">
        <f>IF($A15=Abandonment!$B$4,LossRec,0)</f>
        <v>0</v>
      </c>
      <c r="AM15" s="109">
        <f t="shared" si="11"/>
        <v>0</v>
      </c>
      <c r="AN15" s="64"/>
      <c r="AO15" s="64"/>
      <c r="AP15" s="64"/>
      <c r="AQ15" s="184">
        <f t="shared" si="21"/>
        <v>0</v>
      </c>
      <c r="AR15" s="184">
        <f>IF(AND(O15&lt;0,O14&gt;0,AR14=0),DATE($A15,MAX(12-$R15,0)+SUM($S15:S15)+0.5,1),AR14)</f>
        <v>0</v>
      </c>
      <c r="AS15" s="184">
        <f>IF(AND(P15&lt;0,P14&gt;0,AS14=0),DATE($A15,MAX(12-$R15,0)+SUM($S15:T15)+0.5,1),AS14)</f>
        <v>0</v>
      </c>
      <c r="AT15" s="184">
        <f>IF(AND(Q15&lt;0,Q14&gt;0,AT14=0),DATE($A15,MAX(12-$R15,0)+SUM($S15:U15)+0.5,1),AT14)</f>
        <v>0</v>
      </c>
      <c r="AU15" s="64"/>
      <c r="AV15" s="64"/>
      <c r="AW15" s="64"/>
      <c r="AX15" s="64"/>
      <c r="AY15" s="64"/>
      <c r="AZ15" s="64"/>
      <c r="BA15" s="64"/>
      <c r="BB15" s="64"/>
    </row>
    <row r="16" spans="1:54">
      <c r="A16" s="90">
        <f t="shared" si="20"/>
        <v>2027</v>
      </c>
      <c r="B16" s="109">
        <f>'Success Cash Flow'!E14</f>
        <v>0</v>
      </c>
      <c r="C16" s="109">
        <f>IF(noteco=Lists!A$85,0,Exploration!AB41)</f>
        <v>0</v>
      </c>
      <c r="D16" s="109">
        <f>Development!BP96</f>
        <v>14.459176844869152</v>
      </c>
      <c r="E16" s="109">
        <f>Operations!S23</f>
        <v>0</v>
      </c>
      <c r="F16" s="109">
        <f>Abandonment!G20</f>
        <v>0</v>
      </c>
      <c r="G16" s="109">
        <f t="shared" si="3"/>
        <v>0</v>
      </c>
      <c r="H16" s="109">
        <f t="shared" si="12"/>
        <v>14.459176844869152</v>
      </c>
      <c r="I16" s="109">
        <f t="shared" si="13"/>
        <v>463.68755723643199</v>
      </c>
      <c r="J16" s="109">
        <f>IF(A16&lt;Development!$C$6,0,IF(A16=Development!C$6,Development!$D$6,IF(I16&lt;0,IF(I15&gt;0,ROUNDDOWN(-I15/(I16-I15)*12,0),0),12)))</f>
        <v>0</v>
      </c>
      <c r="K16" s="109">
        <f>IF(OR(A16&lt;Development!$C$6,A16&gt;Abandonment!$B$4),0,(J16*I15-(I15-I16)*J16*(J16+1)/24)/12)</f>
        <v>0</v>
      </c>
      <c r="L16" s="109">
        <f>$K16*(L$7+'Selected Economics'!$G15)</f>
        <v>0</v>
      </c>
      <c r="M16" s="109">
        <f>$K16*(M$7+'Selected Economics'!$G15)</f>
        <v>0</v>
      </c>
      <c r="N16" s="109">
        <f>$K16*(N$7+'Selected Economics'!$G15)</f>
        <v>0</v>
      </c>
      <c r="O16" s="109">
        <f t="shared" si="4"/>
        <v>463.68755723643199</v>
      </c>
      <c r="P16" s="109">
        <f t="shared" si="5"/>
        <v>463.68755723643199</v>
      </c>
      <c r="Q16" s="109">
        <f t="shared" si="5"/>
        <v>463.68755723643199</v>
      </c>
      <c r="R16" s="109">
        <f>IF(A16=Production!$B$4,Production!$B$5,IF(A16&lt;Production!$B$4,0,12+R15))</f>
        <v>0</v>
      </c>
      <c r="S16" s="109">
        <f>MIN($R16,IF(O16&lt;0,MAX(IF(Input!$B$36="Yes",MIN(12,24-R15),0),IF(AND(O15&gt;0,O16&lt;0),ROUNDDOWN(-O15/(O16-O15)*12,0)+0.5),0),12))</f>
        <v>0</v>
      </c>
      <c r="T16" s="109">
        <f>MAX(0,MIN($R16,IF(P16&lt;0,MAX(IF(Input!$B$36="Yes",MIN(12,36-SUM(T$11:T15)),0),IF(AND(P15&gt;0,P16&lt;0),ROUNDDOWN(-P15/(P16-P15)*12,0)+0.5),0),12))-S16)</f>
        <v>0</v>
      </c>
      <c r="U16" s="109">
        <f>MAX(0,MIN($R16,IF(AND(Q15&gt;0,Q16&lt;0),ROUNDDOWN(-Q15/(Q16-Q15)*12,0)+0.5,IF(AND(Q16&gt;0,MIN(Q$11:Q15)&gt;=0),12,0)))-SUM(S16:T16))</f>
        <v>0</v>
      </c>
      <c r="V16" s="109">
        <f t="shared" si="6"/>
        <v>0</v>
      </c>
      <c r="W16" s="109">
        <f t="shared" si="14"/>
        <v>-14.459176844869152</v>
      </c>
      <c r="X16" s="109">
        <f t="shared" si="15"/>
        <v>0</v>
      </c>
      <c r="Y16" s="109">
        <f t="shared" si="7"/>
        <v>0</v>
      </c>
      <c r="Z16" s="109">
        <f t="shared" si="16"/>
        <v>0</v>
      </c>
      <c r="AA16" s="109">
        <f t="shared" si="8"/>
        <v>0</v>
      </c>
      <c r="AB16" s="109">
        <f t="shared" si="17"/>
        <v>0</v>
      </c>
      <c r="AC16" s="109">
        <f t="shared" si="9"/>
        <v>0</v>
      </c>
      <c r="AD16" s="109">
        <f t="shared" si="9"/>
        <v>0</v>
      </c>
      <c r="AE16" s="109">
        <f t="shared" si="9"/>
        <v>0</v>
      </c>
      <c r="AF16" s="109">
        <f t="shared" si="18"/>
        <v>0</v>
      </c>
      <c r="AG16" s="109">
        <f>IF(A16=Abandonment!$B$4,-W16,0)</f>
        <v>0</v>
      </c>
      <c r="AH16" s="109">
        <f t="shared" si="19"/>
        <v>0</v>
      </c>
      <c r="AI16" s="109">
        <f>MIN(AH16,MAX(0,$AL$3-SUM(AI17:AI$52)))</f>
        <v>0</v>
      </c>
      <c r="AJ16" s="109">
        <f t="shared" ref="AJ16:AJ51" si="22">IF(AI16&lt;=0,AF16,MAX((AH16-AI16)/AH16*AF16,(X16*S16+Y16*(MIN(12,R16)-S16))/MIN(12,R16)))</f>
        <v>0</v>
      </c>
      <c r="AK16" s="109">
        <f t="shared" si="10"/>
        <v>0</v>
      </c>
      <c r="AL16" s="109">
        <f>IF($A16=Abandonment!$B$4,LossRec,0)</f>
        <v>0</v>
      </c>
      <c r="AM16" s="109">
        <f t="shared" si="11"/>
        <v>0</v>
      </c>
      <c r="AN16" s="64"/>
      <c r="AO16" s="64"/>
      <c r="AP16" s="64"/>
      <c r="AQ16" s="184">
        <f t="shared" si="21"/>
        <v>0</v>
      </c>
      <c r="AR16" s="184">
        <f>IF(AND(O16&lt;0,O15&gt;0,AR15=0),DATE($A16,MAX(12-$R16,0)+SUM($S16:S16)+0.5,1),AR15)</f>
        <v>0</v>
      </c>
      <c r="AS16" s="184">
        <f>IF(AND(P16&lt;0,P15&gt;0,AS15=0),DATE($A16,MAX(12-$R16,0)+SUM($S16:T16)+0.5,1),AS15)</f>
        <v>0</v>
      </c>
      <c r="AT16" s="184">
        <f>IF(AND(Q16&lt;0,Q15&gt;0,AT15=0),DATE($A16,MAX(12-$R16,0)+SUM($S16:U16)+0.5,1),AT15)</f>
        <v>0</v>
      </c>
      <c r="AU16" s="64"/>
      <c r="AV16" s="64"/>
      <c r="AW16" s="64"/>
      <c r="AX16" s="64"/>
      <c r="AY16" s="64"/>
      <c r="AZ16" s="64"/>
      <c r="BA16" s="64"/>
      <c r="BB16" s="64"/>
    </row>
    <row r="17" spans="1:54">
      <c r="A17" s="90">
        <f t="shared" si="20"/>
        <v>2028</v>
      </c>
      <c r="B17" s="109">
        <f>'Success Cash Flow'!E15</f>
        <v>0</v>
      </c>
      <c r="C17" s="109">
        <f>IF(noteco=Lists!A$85,0,Exploration!AB42)</f>
        <v>0</v>
      </c>
      <c r="D17" s="109">
        <f>Development!BP97</f>
        <v>2.454882222562949</v>
      </c>
      <c r="E17" s="109">
        <f>Operations!S24</f>
        <v>0</v>
      </c>
      <c r="F17" s="109">
        <f>Abandonment!G21</f>
        <v>0</v>
      </c>
      <c r="G17" s="109">
        <f t="shared" si="3"/>
        <v>0</v>
      </c>
      <c r="H17" s="109">
        <f t="shared" si="12"/>
        <v>2.454882222562949</v>
      </c>
      <c r="I17" s="109">
        <f t="shared" si="13"/>
        <v>466.14243945899494</v>
      </c>
      <c r="J17" s="109">
        <f>IF(A17&lt;Development!$C$6,0,IF(A17=Development!C$6,Development!$D$6,IF(I17&lt;0,IF(I16&gt;0,ROUNDDOWN(-I16/(I17-I16)*12,0),0),12)))</f>
        <v>8</v>
      </c>
      <c r="K17" s="109">
        <f>IF(OR(A17&lt;Development!$C$6,A17&gt;Abandonment!$B$4),0,(J17*I16-(I16-I17)*J17*(J17+1)/24)/12)</f>
        <v>309.73875871326203</v>
      </c>
      <c r="L17" s="109">
        <f>$K17*(L$7+'Selected Economics'!$G16)</f>
        <v>23.230406903494657</v>
      </c>
      <c r="M17" s="109">
        <f>$K17*(M$7+'Selected Economics'!$G16)</f>
        <v>69.691220710483961</v>
      </c>
      <c r="N17" s="109">
        <f>$K17*(N$7+'Selected Economics'!$G16)</f>
        <v>147.12591038879947</v>
      </c>
      <c r="O17" s="109">
        <f t="shared" si="4"/>
        <v>489.37284636248961</v>
      </c>
      <c r="P17" s="109">
        <f t="shared" si="5"/>
        <v>535.83366016947889</v>
      </c>
      <c r="Q17" s="109">
        <f t="shared" si="5"/>
        <v>613.26834984779441</v>
      </c>
      <c r="R17" s="109">
        <f>IF(A17=Production!$B$4,Production!$B$5,IF(A17&lt;Production!$B$4,0,12+R16))</f>
        <v>0</v>
      </c>
      <c r="S17" s="109">
        <f>MIN($R17,IF(O17&lt;0,MAX(IF(Input!$B$36="Yes",MIN(12,24-R16),0),IF(AND(O16&gt;0,O17&lt;0),ROUNDDOWN(-O16/(O17-O16)*12,0)+0.5),0),12))</f>
        <v>0</v>
      </c>
      <c r="T17" s="109">
        <f>MAX(0,MIN($R17,IF(P17&lt;0,MAX(IF(Input!$B$36="Yes",MIN(12,36-SUM(T$11:T16)),0),IF(AND(P16&gt;0,P17&lt;0),ROUNDDOWN(-P16/(P17-P16)*12,0)+0.5),0),12))-S17)</f>
        <v>0</v>
      </c>
      <c r="U17" s="109">
        <f>MAX(0,MIN($R17,IF(AND(Q16&gt;0,Q17&lt;0),ROUNDDOWN(-Q16/(Q17-Q16)*12,0)+0.5,IF(AND(Q17&gt;0,MIN(Q$11:Q16)&gt;=0),12,0)))-SUM(S17:T17))</f>
        <v>0</v>
      </c>
      <c r="V17" s="109">
        <f t="shared" si="6"/>
        <v>0</v>
      </c>
      <c r="W17" s="109">
        <f t="shared" si="14"/>
        <v>-2.454882222562949</v>
      </c>
      <c r="X17" s="109">
        <f t="shared" si="15"/>
        <v>0</v>
      </c>
      <c r="Y17" s="109">
        <f t="shared" si="7"/>
        <v>0</v>
      </c>
      <c r="Z17" s="109">
        <f t="shared" si="16"/>
        <v>0</v>
      </c>
      <c r="AA17" s="109">
        <f t="shared" si="8"/>
        <v>0</v>
      </c>
      <c r="AB17" s="109">
        <f t="shared" si="17"/>
        <v>0</v>
      </c>
      <c r="AC17" s="109">
        <f t="shared" si="9"/>
        <v>0</v>
      </c>
      <c r="AD17" s="109">
        <f t="shared" si="9"/>
        <v>0</v>
      </c>
      <c r="AE17" s="109">
        <f t="shared" si="9"/>
        <v>0</v>
      </c>
      <c r="AF17" s="109">
        <f t="shared" si="18"/>
        <v>0</v>
      </c>
      <c r="AG17" s="109">
        <f>IF(A17=Abandonment!$B$4,-W17,0)</f>
        <v>0</v>
      </c>
      <c r="AH17" s="109">
        <f t="shared" si="19"/>
        <v>0</v>
      </c>
      <c r="AI17" s="109">
        <f>MIN(AH17,MAX(0,$AL$3-SUM(AI18:AI$52)))</f>
        <v>0</v>
      </c>
      <c r="AJ17" s="109">
        <f t="shared" si="22"/>
        <v>0</v>
      </c>
      <c r="AK17" s="109">
        <f t="shared" si="10"/>
        <v>0</v>
      </c>
      <c r="AL17" s="109">
        <f>IF($A17=Abandonment!$B$4,LossRec,0)</f>
        <v>0</v>
      </c>
      <c r="AM17" s="109">
        <f t="shared" si="11"/>
        <v>0</v>
      </c>
      <c r="AN17" s="64"/>
      <c r="AO17" s="64"/>
      <c r="AP17" s="64"/>
      <c r="AQ17" s="184">
        <f t="shared" si="21"/>
        <v>0</v>
      </c>
      <c r="AR17" s="184">
        <f>IF(AND(O17&lt;0,O16&gt;0,AR16=0),DATE($A17,MAX(12-$R17,0)+SUM($S17:S17)+0.5,1),AR16)</f>
        <v>0</v>
      </c>
      <c r="AS17" s="184">
        <f>IF(AND(P17&lt;0,P16&gt;0,AS16=0),DATE($A17,MAX(12-$R17,0)+SUM($S17:T17)+0.5,1),AS16)</f>
        <v>0</v>
      </c>
      <c r="AT17" s="184">
        <f>IF(AND(Q17&lt;0,Q16&gt;0,AT16=0),DATE($A17,MAX(12-$R17,0)+SUM($S17:U17)+0.5,1),AT16)</f>
        <v>0</v>
      </c>
      <c r="AU17" s="64"/>
      <c r="AV17" s="64"/>
      <c r="AW17" s="64"/>
      <c r="AX17" s="64"/>
      <c r="AY17" s="64"/>
      <c r="AZ17" s="64"/>
      <c r="BA17" s="64"/>
      <c r="BB17" s="64"/>
    </row>
    <row r="18" spans="1:54">
      <c r="A18" s="90">
        <f t="shared" si="20"/>
        <v>2029</v>
      </c>
      <c r="B18" s="109">
        <f>'Success Cash Flow'!E16</f>
        <v>0</v>
      </c>
      <c r="C18" s="109">
        <f>IF(noteco=Lists!A$85,0,Exploration!AB43)</f>
        <v>0</v>
      </c>
      <c r="D18" s="109">
        <f>Development!BP98</f>
        <v>477.11671347064083</v>
      </c>
      <c r="E18" s="109">
        <f>Operations!S25</f>
        <v>0</v>
      </c>
      <c r="F18" s="109">
        <f>Abandonment!G22</f>
        <v>0</v>
      </c>
      <c r="G18" s="109">
        <f t="shared" si="3"/>
        <v>0</v>
      </c>
      <c r="H18" s="109">
        <f t="shared" si="12"/>
        <v>477.11671347064083</v>
      </c>
      <c r="I18" s="109">
        <f t="shared" si="13"/>
        <v>943.25915292963577</v>
      </c>
      <c r="J18" s="109">
        <f>IF(A18&lt;Development!$C$6,0,IF(A18=Development!C$6,Development!$D$6,IF(I18&lt;0,IF(I17&gt;0,ROUNDDOWN(-I17/(I18-I17)*12,0),0),12)))</f>
        <v>12</v>
      </c>
      <c r="K18" s="109">
        <f>IF(OR(A18&lt;Development!$C$6,A18&gt;Abandonment!$B$4),0,(J18*I17-(I17-I18)*J18*(J18+1)/24)/12)</f>
        <v>724.5806592555922</v>
      </c>
      <c r="L18" s="109">
        <f>$K18*(L$7+'Selected Economics'!$G17)</f>
        <v>54.343549444169426</v>
      </c>
      <c r="M18" s="109">
        <f>$K18*(M$7+'Selected Economics'!$G17)</f>
        <v>163.03064833250824</v>
      </c>
      <c r="N18" s="109">
        <f>$K18*(N$7+'Selected Economics'!$G17)</f>
        <v>344.17581314640631</v>
      </c>
      <c r="O18" s="109">
        <f t="shared" si="4"/>
        <v>1020.8331092772999</v>
      </c>
      <c r="P18" s="109">
        <f t="shared" si="5"/>
        <v>1175.981021972628</v>
      </c>
      <c r="Q18" s="109">
        <f t="shared" si="5"/>
        <v>1434.5608764648414</v>
      </c>
      <c r="R18" s="109">
        <f>IF(A18=Production!$B$4,Production!$B$5,IF(A18&lt;Production!$B$4,0,12+R17))</f>
        <v>0</v>
      </c>
      <c r="S18" s="109">
        <f>MIN($R18,IF(O18&lt;0,MAX(IF(Input!$B$36="Yes",MIN(12,24-R17),0),IF(AND(O17&gt;0,O18&lt;0),ROUNDDOWN(-O17/(O18-O17)*12,0)+0.5),0),12))</f>
        <v>0</v>
      </c>
      <c r="T18" s="109">
        <f>MAX(0,MIN($R18,IF(P18&lt;0,MAX(IF(Input!$B$36="Yes",MIN(12,36-SUM(T$11:T17)),0),IF(AND(P17&gt;0,P18&lt;0),ROUNDDOWN(-P17/(P18-P17)*12,0)+0.5),0),12))-S18)</f>
        <v>0</v>
      </c>
      <c r="U18" s="109">
        <f>MAX(0,MIN($R18,IF(AND(Q17&gt;0,Q18&lt;0),ROUNDDOWN(-Q17/(Q18-Q17)*12,0)+0.5,IF(AND(Q18&gt;0,MIN(Q$11:Q17)&gt;=0),12,0)))-SUM(S18:T18))</f>
        <v>0</v>
      </c>
      <c r="V18" s="109">
        <f t="shared" si="6"/>
        <v>0</v>
      </c>
      <c r="W18" s="109">
        <f t="shared" si="14"/>
        <v>-477.11671347064083</v>
      </c>
      <c r="X18" s="109">
        <f t="shared" si="15"/>
        <v>0</v>
      </c>
      <c r="Y18" s="109">
        <f t="shared" si="7"/>
        <v>0</v>
      </c>
      <c r="Z18" s="109">
        <f t="shared" si="16"/>
        <v>0</v>
      </c>
      <c r="AA18" s="109">
        <f t="shared" si="8"/>
        <v>0</v>
      </c>
      <c r="AB18" s="109">
        <f t="shared" si="17"/>
        <v>0</v>
      </c>
      <c r="AC18" s="109">
        <f t="shared" si="9"/>
        <v>0</v>
      </c>
      <c r="AD18" s="109">
        <f t="shared" si="9"/>
        <v>0</v>
      </c>
      <c r="AE18" s="109">
        <f t="shared" si="9"/>
        <v>0</v>
      </c>
      <c r="AF18" s="109">
        <f t="shared" si="18"/>
        <v>0</v>
      </c>
      <c r="AG18" s="109">
        <f>IF(A18=Abandonment!$B$4,-W18,0)</f>
        <v>0</v>
      </c>
      <c r="AH18" s="109">
        <f t="shared" si="19"/>
        <v>0</v>
      </c>
      <c r="AI18" s="109">
        <f>MIN(AH18,MAX(0,$AL$3-SUM(AI19:AI$52)))</f>
        <v>0</v>
      </c>
      <c r="AJ18" s="109">
        <f t="shared" si="22"/>
        <v>0</v>
      </c>
      <c r="AK18" s="109">
        <f t="shared" si="10"/>
        <v>0</v>
      </c>
      <c r="AL18" s="109">
        <f>IF($A18=Abandonment!$B$4,LossRec,0)</f>
        <v>0</v>
      </c>
      <c r="AM18" s="109">
        <f t="shared" si="11"/>
        <v>0</v>
      </c>
      <c r="AN18" s="64"/>
      <c r="AO18" s="64"/>
      <c r="AP18" s="64"/>
      <c r="AQ18" s="184">
        <f t="shared" si="21"/>
        <v>0</v>
      </c>
      <c r="AR18" s="184">
        <f>IF(AND(O18&lt;0,O17&gt;0,AR17=0),DATE($A18,MAX(12-$R18,0)+SUM($S18:S18)+0.5,1),AR17)</f>
        <v>0</v>
      </c>
      <c r="AS18" s="184">
        <f>IF(AND(P18&lt;0,P17&gt;0,AS17=0),DATE($A18,MAX(12-$R18,0)+SUM($S18:T18)+0.5,1),AS17)</f>
        <v>0</v>
      </c>
      <c r="AT18" s="184">
        <f>IF(AND(Q18&lt;0,Q17&gt;0,AT17=0),DATE($A18,MAX(12-$R18,0)+SUM($S18:U18)+0.5,1),AT17)</f>
        <v>0</v>
      </c>
      <c r="AU18" s="64"/>
      <c r="AV18" s="64"/>
      <c r="AW18" s="64"/>
      <c r="AX18" s="64"/>
      <c r="AY18" s="64"/>
      <c r="AZ18" s="64"/>
      <c r="BA18" s="64"/>
      <c r="BB18" s="64"/>
    </row>
    <row r="19" spans="1:54">
      <c r="A19" s="90">
        <f t="shared" si="20"/>
        <v>2030</v>
      </c>
      <c r="B19" s="109">
        <f>'Success Cash Flow'!E17</f>
        <v>0</v>
      </c>
      <c r="C19" s="109">
        <f>IF(noteco=Lists!A$85,0,Exploration!AB44)</f>
        <v>0</v>
      </c>
      <c r="D19" s="109">
        <f>Development!BP99</f>
        <v>4327.2776824678176</v>
      </c>
      <c r="E19" s="109">
        <f>Operations!S26</f>
        <v>0</v>
      </c>
      <c r="F19" s="109">
        <f>Abandonment!G23</f>
        <v>0</v>
      </c>
      <c r="G19" s="109">
        <f t="shared" si="3"/>
        <v>0</v>
      </c>
      <c r="H19" s="109">
        <f t="shared" si="12"/>
        <v>4327.2776824678176</v>
      </c>
      <c r="I19" s="109">
        <f t="shared" si="13"/>
        <v>5270.5368353974536</v>
      </c>
      <c r="J19" s="109">
        <f>IF(A19&lt;Development!$C$6,0,IF(A19=Development!C$6,Development!$D$6,IF(I19&lt;0,IF(I18&gt;0,ROUNDDOWN(-I18/(I19-I18)*12,0),0),12)))</f>
        <v>12</v>
      </c>
      <c r="K19" s="109">
        <f>IF(OR(A19&lt;Development!$C$6,A19&gt;Abandonment!$B$4),0,(J19*I18-(I18-I19)*J19*(J19+1)/24)/12)</f>
        <v>3287.2012309330371</v>
      </c>
      <c r="L19" s="109">
        <f>$K19*(L$7+'Selected Economics'!$G18)</f>
        <v>246.54009231997782</v>
      </c>
      <c r="M19" s="109">
        <f>$K19*(M$7+'Selected Economics'!$G18)</f>
        <v>739.62027695993334</v>
      </c>
      <c r="N19" s="109">
        <f>$K19*(N$7+'Selected Economics'!$G18)</f>
        <v>1561.4205846931927</v>
      </c>
      <c r="O19" s="109">
        <f t="shared" si="4"/>
        <v>5594.6508840650949</v>
      </c>
      <c r="P19" s="109">
        <f t="shared" si="5"/>
        <v>6242.8789814003785</v>
      </c>
      <c r="Q19" s="109">
        <f t="shared" si="5"/>
        <v>7323.2591436258517</v>
      </c>
      <c r="R19" s="109">
        <f>IF(A19=Production!$B$4,Production!$B$5,IF(A19&lt;Production!$B$4,0,12+R18))</f>
        <v>0</v>
      </c>
      <c r="S19" s="109">
        <f>MIN($R19,IF(O19&lt;0,MAX(IF(Input!$B$36="Yes",MIN(12,24-R18),0),IF(AND(O18&gt;0,O19&lt;0),ROUNDDOWN(-O18/(O19-O18)*12,0)+0.5),0),12))</f>
        <v>0</v>
      </c>
      <c r="T19" s="109">
        <f>MAX(0,MIN($R19,IF(P19&lt;0,MAX(IF(Input!$B$36="Yes",MIN(12,36-SUM(T$11:T18)),0),IF(AND(P18&gt;0,P19&lt;0),ROUNDDOWN(-P18/(P19-P18)*12,0)+0.5),0),12))-S19)</f>
        <v>0</v>
      </c>
      <c r="U19" s="109">
        <f>MAX(0,MIN($R19,IF(AND(Q18&gt;0,Q19&lt;0),ROUNDDOWN(-Q18/(Q19-Q18)*12,0)+0.5,IF(AND(Q19&gt;0,MIN(Q$11:Q18)&gt;=0),12,0)))-SUM(S19:T19))</f>
        <v>0</v>
      </c>
      <c r="V19" s="109">
        <f t="shared" si="6"/>
        <v>0</v>
      </c>
      <c r="W19" s="109">
        <f t="shared" si="14"/>
        <v>-4327.2776824678176</v>
      </c>
      <c r="X19" s="109">
        <f t="shared" si="15"/>
        <v>0</v>
      </c>
      <c r="Y19" s="109">
        <f t="shared" si="7"/>
        <v>0</v>
      </c>
      <c r="Z19" s="109">
        <f t="shared" si="16"/>
        <v>0</v>
      </c>
      <c r="AA19" s="109">
        <f t="shared" si="8"/>
        <v>0</v>
      </c>
      <c r="AB19" s="109">
        <f t="shared" si="17"/>
        <v>0</v>
      </c>
      <c r="AC19" s="109">
        <f t="shared" si="9"/>
        <v>0</v>
      </c>
      <c r="AD19" s="109">
        <f t="shared" si="9"/>
        <v>0</v>
      </c>
      <c r="AE19" s="109">
        <f t="shared" si="9"/>
        <v>0</v>
      </c>
      <c r="AF19" s="109">
        <f t="shared" si="18"/>
        <v>0</v>
      </c>
      <c r="AG19" s="109">
        <f>IF(A19=Abandonment!$B$4,-W19,0)</f>
        <v>0</v>
      </c>
      <c r="AH19" s="109">
        <f t="shared" si="19"/>
        <v>0</v>
      </c>
      <c r="AI19" s="109">
        <f>MIN(AH19,MAX(0,$AL$3-SUM(AI20:AI$52)))</f>
        <v>0</v>
      </c>
      <c r="AJ19" s="109">
        <f t="shared" si="22"/>
        <v>0</v>
      </c>
      <c r="AK19" s="109">
        <f t="shared" si="10"/>
        <v>0</v>
      </c>
      <c r="AL19" s="109">
        <f>IF($A19=Abandonment!$B$4,LossRec,0)</f>
        <v>0</v>
      </c>
      <c r="AM19" s="109">
        <f t="shared" si="11"/>
        <v>0</v>
      </c>
      <c r="AN19" s="64"/>
      <c r="AO19" s="64"/>
      <c r="AP19" s="64"/>
      <c r="AQ19" s="184">
        <f t="shared" si="21"/>
        <v>0</v>
      </c>
      <c r="AR19" s="184">
        <f>IF(AND(O19&lt;0,O18&gt;0,AR18=0),DATE($A19,MAX(12-$R19,0)+SUM($S19:S19)+0.5,1),AR18)</f>
        <v>0</v>
      </c>
      <c r="AS19" s="184">
        <f>IF(AND(P19&lt;0,P18&gt;0,AS18=0),DATE($A19,MAX(12-$R19,0)+SUM($S19:T19)+0.5,1),AS18)</f>
        <v>0</v>
      </c>
      <c r="AT19" s="184">
        <f>IF(AND(Q19&lt;0,Q18&gt;0,AT18=0),DATE($A19,MAX(12-$R19,0)+SUM($S19:U19)+0.5,1),AT18)</f>
        <v>0</v>
      </c>
      <c r="AU19" s="64"/>
      <c r="AV19" s="64"/>
      <c r="AW19" s="64"/>
      <c r="AX19" s="64"/>
      <c r="AY19" s="64"/>
      <c r="AZ19" s="64"/>
      <c r="BA19" s="64"/>
      <c r="BB19" s="64"/>
    </row>
    <row r="20" spans="1:54">
      <c r="A20" s="90">
        <f t="shared" si="20"/>
        <v>2031</v>
      </c>
      <c r="B20" s="109">
        <f>'Success Cash Flow'!E18</f>
        <v>2528.932343067177</v>
      </c>
      <c r="C20" s="109">
        <f>IF(noteco=Lists!A$85,0,Exploration!AB45)</f>
        <v>0</v>
      </c>
      <c r="D20" s="109">
        <f>Development!BP100</f>
        <v>2889.2638404018985</v>
      </c>
      <c r="E20" s="109">
        <f>Operations!S27</f>
        <v>379.9245949250157</v>
      </c>
      <c r="F20" s="109">
        <f>Abandonment!G24</f>
        <v>0</v>
      </c>
      <c r="G20" s="109">
        <f t="shared" si="3"/>
        <v>50.578646861343543</v>
      </c>
      <c r="H20" s="109">
        <f t="shared" si="12"/>
        <v>3319.767082188258</v>
      </c>
      <c r="I20" s="109">
        <f t="shared" si="13"/>
        <v>6061.3715745185345</v>
      </c>
      <c r="J20" s="109">
        <f>IF(A20&lt;Development!$C$6,0,IF(A20=Development!C$6,Development!$D$6,IF(I20&lt;0,IF(I19&gt;0,ROUNDDOWN(-I19/(I20-I19)*12,0),0),12)))</f>
        <v>12</v>
      </c>
      <c r="K20" s="109">
        <f>IF(OR(A20&lt;Development!$C$6,A20&gt;Abandonment!$B$4),0,(J20*I19-(I19-I20)*J20*(J20+1)/24)/12)</f>
        <v>5698.9056524213729</v>
      </c>
      <c r="L20" s="109">
        <f>$K20*(L$7+'Selected Economics'!$G19)</f>
        <v>427.41792393160301</v>
      </c>
      <c r="M20" s="109">
        <f>$K20*(M$7+'Selected Economics'!$G19)</f>
        <v>1282.2537717948089</v>
      </c>
      <c r="N20" s="109">
        <f>$K20*(N$7+'Selected Economics'!$G19)</f>
        <v>2706.9801849001524</v>
      </c>
      <c r="O20" s="109">
        <f t="shared" si="4"/>
        <v>6812.9035471177795</v>
      </c>
      <c r="P20" s="109">
        <f t="shared" si="5"/>
        <v>8315.9674923162675</v>
      </c>
      <c r="Q20" s="109">
        <f t="shared" si="5"/>
        <v>10821.074067647085</v>
      </c>
      <c r="R20" s="109">
        <f>IF(A20=Production!$B$4,Production!$B$5,IF(A20&lt;Production!$B$4,0,12+R19))</f>
        <v>5</v>
      </c>
      <c r="S20" s="109">
        <f>MIN($R20,IF(O20&lt;0,MAX(IF(Input!$B$36="Yes",MIN(12,24-R19),0),IF(AND(O19&gt;0,O20&lt;0),ROUNDDOWN(-O19/(O20-O19)*12,0)+0.5),0),12))</f>
        <v>5</v>
      </c>
      <c r="T20" s="109">
        <f>MAX(0,MIN($R20,IF(P20&lt;0,MAX(IF(Input!$B$36="Yes",MIN(12,36-SUM(T$11:T19)),0),IF(AND(P19&gt;0,P20&lt;0),ROUNDDOWN(-P19/(P20-P19)*12,0)+0.5),0),12))-S20)</f>
        <v>0</v>
      </c>
      <c r="U20" s="109">
        <f>MAX(0,MIN($R20,IF(AND(Q19&gt;0,Q20&lt;0),ROUNDDOWN(-Q19/(Q20-Q19)*12,0)+0.5,IF(AND(Q20&gt;0,MIN(Q$11:Q19)&gt;=0),12,0)))-SUM(S20:T20))</f>
        <v>0</v>
      </c>
      <c r="V20" s="109">
        <f t="shared" si="6"/>
        <v>0</v>
      </c>
      <c r="W20" s="109">
        <f t="shared" si="14"/>
        <v>-740.25609225973722</v>
      </c>
      <c r="X20" s="109">
        <f t="shared" si="15"/>
        <v>50.578646861343543</v>
      </c>
      <c r="Y20" s="109">
        <f t="shared" si="7"/>
        <v>126.44661715335886</v>
      </c>
      <c r="Z20" s="109">
        <f t="shared" si="16"/>
        <v>126.44661715335886</v>
      </c>
      <c r="AA20" s="109">
        <f t="shared" si="8"/>
        <v>126.44661715335886</v>
      </c>
      <c r="AB20" s="109">
        <f t="shared" si="17"/>
        <v>50.578646861343543</v>
      </c>
      <c r="AC20" s="109">
        <f t="shared" si="9"/>
        <v>0</v>
      </c>
      <c r="AD20" s="109">
        <f t="shared" si="9"/>
        <v>0</v>
      </c>
      <c r="AE20" s="109">
        <f t="shared" si="9"/>
        <v>0</v>
      </c>
      <c r="AF20" s="109">
        <f t="shared" si="18"/>
        <v>50.578646861343543</v>
      </c>
      <c r="AG20" s="109">
        <f>IF(A20=Abandonment!$B$4,-W20,0)</f>
        <v>0</v>
      </c>
      <c r="AH20" s="109">
        <f t="shared" si="19"/>
        <v>0</v>
      </c>
      <c r="AI20" s="109">
        <f>MIN(AH20,MAX(0,$AL$3-SUM(AI21:AI$52)))</f>
        <v>0</v>
      </c>
      <c r="AJ20" s="109">
        <f t="shared" si="22"/>
        <v>50.578646861343543</v>
      </c>
      <c r="AK20" s="109">
        <f t="shared" si="10"/>
        <v>0</v>
      </c>
      <c r="AL20" s="109">
        <f>IF($A20=Abandonment!$B$4,LossRec,0)</f>
        <v>0</v>
      </c>
      <c r="AM20" s="109">
        <f t="shared" si="11"/>
        <v>50.578646861343543</v>
      </c>
      <c r="AN20" s="64"/>
      <c r="AO20" s="64"/>
      <c r="AP20" s="64"/>
      <c r="AQ20" s="184">
        <f t="shared" si="21"/>
        <v>0</v>
      </c>
      <c r="AR20" s="184">
        <f>IF(AND(O20&lt;0,O19&gt;0,AR19=0),DATE($A20,MAX(12-$R20,0)+SUM($S20:S20)+0.5,1),AR19)</f>
        <v>0</v>
      </c>
      <c r="AS20" s="184">
        <f>IF(AND(P20&lt;0,P19&gt;0,AS19=0),DATE($A20,MAX(12-$R20,0)+SUM($S20:T20)+0.5,1),AS19)</f>
        <v>0</v>
      </c>
      <c r="AT20" s="184">
        <f>IF(AND(Q20&lt;0,Q19&gt;0,AT19=0),DATE($A20,MAX(12-$R20,0)+SUM($S20:U20)+0.5,1),AT19)</f>
        <v>0</v>
      </c>
      <c r="AU20" s="64"/>
      <c r="AV20" s="64"/>
      <c r="AW20" s="64"/>
      <c r="AX20" s="64"/>
      <c r="AY20" s="64"/>
      <c r="AZ20" s="64"/>
      <c r="BA20" s="64"/>
      <c r="BB20" s="64"/>
    </row>
    <row r="21" spans="1:54">
      <c r="A21" s="90">
        <f t="shared" si="20"/>
        <v>2032</v>
      </c>
      <c r="B21" s="109">
        <f>'Success Cash Flow'!E19</f>
        <v>4474.6536159489724</v>
      </c>
      <c r="C21" s="109">
        <f>IF(noteco=Lists!A$85,0,Exploration!AB46)</f>
        <v>0</v>
      </c>
      <c r="D21" s="109">
        <f>Development!BP101</f>
        <v>0</v>
      </c>
      <c r="E21" s="109">
        <f>Operations!S28</f>
        <v>533.64226612237042</v>
      </c>
      <c r="F21" s="109">
        <f>Abandonment!G25</f>
        <v>0</v>
      </c>
      <c r="G21" s="109">
        <f t="shared" si="3"/>
        <v>89.493072318979443</v>
      </c>
      <c r="H21" s="109">
        <f t="shared" si="12"/>
        <v>623.13533844134986</v>
      </c>
      <c r="I21" s="109">
        <f t="shared" si="13"/>
        <v>2209.8532970109118</v>
      </c>
      <c r="J21" s="109">
        <f>IF(A21&lt;Development!$C$6,0,IF(A21=Development!C$6,Development!$D$6,IF(I21&lt;0,IF(I20&gt;0,ROUNDDOWN(-I20/(I21-I20)*12,0),0),12)))</f>
        <v>12</v>
      </c>
      <c r="K21" s="109">
        <f>IF(OR(A21&lt;Development!$C$6,A21&gt;Abandonment!$B$4),0,(J21*I20-(I20-I21)*J21*(J21+1)/24)/12)</f>
        <v>3975.1325075352397</v>
      </c>
      <c r="L21" s="109">
        <f>$K21*(L$7+'Selected Economics'!$G20)</f>
        <v>298.13493806514305</v>
      </c>
      <c r="M21" s="109">
        <f>$K21*(M$7+'Selected Economics'!$G20)</f>
        <v>894.40481419542891</v>
      </c>
      <c r="N21" s="109">
        <f>$K21*(N$7+'Selected Economics'!$G20)</f>
        <v>1888.187941079239</v>
      </c>
      <c r="O21" s="109">
        <f t="shared" si="4"/>
        <v>3259.5202076752998</v>
      </c>
      <c r="P21" s="109">
        <f t="shared" si="5"/>
        <v>5358.8540290040737</v>
      </c>
      <c r="Q21" s="109">
        <f t="shared" si="5"/>
        <v>8857.7437312187012</v>
      </c>
      <c r="R21" s="109">
        <f>IF(A21=Production!$B$4,Production!$B$5,IF(A21&lt;Production!$B$4,0,12+R20))</f>
        <v>17</v>
      </c>
      <c r="S21" s="109">
        <f>MIN($R21,IF(O21&lt;0,MAX(IF(Input!$B$36="Yes",MIN(12,24-R20),0),IF(AND(O20&gt;0,O21&lt;0),ROUNDDOWN(-O20/(O21-O20)*12,0)+0.5),0),12))</f>
        <v>12</v>
      </c>
      <c r="T21" s="109">
        <f>MAX(0,MIN($R21,IF(P21&lt;0,MAX(IF(Input!$B$36="Yes",MIN(12,36-SUM(T$11:T20)),0),IF(AND(P20&gt;0,P21&lt;0),ROUNDDOWN(-P20/(P21-P20)*12,0)+0.5),0),12))-S21)</f>
        <v>0</v>
      </c>
      <c r="U21" s="109">
        <f>MAX(0,MIN($R21,IF(AND(Q20&gt;0,Q21&lt;0),ROUNDDOWN(-Q20/(Q21-Q20)*12,0)+0.5,IF(AND(Q21&gt;0,MIN(Q$11:Q20)&gt;=0),12,0)))-SUM(S21:T21))</f>
        <v>0</v>
      </c>
      <c r="V21" s="109">
        <f t="shared" si="6"/>
        <v>0</v>
      </c>
      <c r="W21" s="109">
        <f t="shared" si="14"/>
        <v>3941.0113498266019</v>
      </c>
      <c r="X21" s="109">
        <f t="shared" si="15"/>
        <v>89.493072318979443</v>
      </c>
      <c r="Y21" s="109">
        <f t="shared" si="7"/>
        <v>223.73268079744864</v>
      </c>
      <c r="Z21" s="109">
        <f t="shared" si="16"/>
        <v>788.2022699653204</v>
      </c>
      <c r="AA21" s="109">
        <f t="shared" si="8"/>
        <v>1379.3539724393106</v>
      </c>
      <c r="AB21" s="109">
        <f t="shared" si="17"/>
        <v>89.493072318979443</v>
      </c>
      <c r="AC21" s="109">
        <f t="shared" si="9"/>
        <v>0</v>
      </c>
      <c r="AD21" s="109">
        <f t="shared" si="9"/>
        <v>0</v>
      </c>
      <c r="AE21" s="109">
        <f t="shared" si="9"/>
        <v>0</v>
      </c>
      <c r="AF21" s="109">
        <f t="shared" si="18"/>
        <v>89.493072318979443</v>
      </c>
      <c r="AG21" s="109">
        <f>IF(A21=Abandonment!$B$4,-W21,0)</f>
        <v>0</v>
      </c>
      <c r="AH21" s="109">
        <f t="shared" si="19"/>
        <v>3941.0113498266019</v>
      </c>
      <c r="AI21" s="109">
        <f>MIN(AH21,MAX(0,$AL$3-SUM(AI22:AI$52)))</f>
        <v>0</v>
      </c>
      <c r="AJ21" s="109">
        <f t="shared" si="22"/>
        <v>89.493072318979443</v>
      </c>
      <c r="AK21" s="109">
        <f t="shared" si="10"/>
        <v>0</v>
      </c>
      <c r="AL21" s="109">
        <f>IF($A21=Abandonment!$B$4,LossRec,0)</f>
        <v>0</v>
      </c>
      <c r="AM21" s="109">
        <f t="shared" si="11"/>
        <v>89.493072318979443</v>
      </c>
      <c r="AN21" s="64"/>
      <c r="AO21" s="64"/>
      <c r="AP21" s="64"/>
      <c r="AQ21" s="184">
        <f t="shared" si="21"/>
        <v>0</v>
      </c>
      <c r="AR21" s="184">
        <f>IF(AND(O21&lt;0,O20&gt;0,AR20=0),DATE($A21,MAX(12-$R21,0)+SUM($S21:S21)+0.5,1),AR20)</f>
        <v>0</v>
      </c>
      <c r="AS21" s="184">
        <f>IF(AND(P21&lt;0,P20&gt;0,AS20=0),DATE($A21,MAX(12-$R21,0)+SUM($S21:T21)+0.5,1),AS20)</f>
        <v>0</v>
      </c>
      <c r="AT21" s="184">
        <f>IF(AND(Q21&lt;0,Q20&gt;0,AT20=0),DATE($A21,MAX(12-$R21,0)+SUM($S21:U21)+0.5,1),AT20)</f>
        <v>0</v>
      </c>
      <c r="AU21" s="64"/>
      <c r="AV21" s="64"/>
      <c r="AW21" s="64"/>
      <c r="AX21" s="64"/>
      <c r="AY21" s="64"/>
      <c r="AZ21" s="64"/>
      <c r="BA21" s="64"/>
      <c r="BB21" s="64"/>
    </row>
    <row r="22" spans="1:54">
      <c r="A22" s="90">
        <f t="shared" si="20"/>
        <v>2033</v>
      </c>
      <c r="B22" s="109">
        <f>'Success Cash Flow'!E20</f>
        <v>4596.3006199891151</v>
      </c>
      <c r="C22" s="109">
        <f>IF(noteco=Lists!A$85,0,Exploration!AB47)</f>
        <v>0</v>
      </c>
      <c r="D22" s="109">
        <f>Development!BP102</f>
        <v>0</v>
      </c>
      <c r="E22" s="109">
        <f>Operations!S29</f>
        <v>549.24890910072895</v>
      </c>
      <c r="F22" s="109">
        <f>Abandonment!G26</f>
        <v>0</v>
      </c>
      <c r="G22" s="109">
        <f t="shared" si="3"/>
        <v>91.926012399782309</v>
      </c>
      <c r="H22" s="109">
        <f t="shared" si="12"/>
        <v>641.17492150051123</v>
      </c>
      <c r="I22" s="109">
        <f t="shared" si="13"/>
        <v>-1745.2724014776923</v>
      </c>
      <c r="J22" s="109">
        <f>IF(A22&lt;Development!$C$6,0,IF(A22=Development!C$6,Development!$D$6,IF(I22&lt;0,IF(I21&gt;0,ROUNDDOWN(-I21/(I22-I21)*12,0),0),12)))</f>
        <v>6</v>
      </c>
      <c r="K22" s="109">
        <f>IF(OR(A22&lt;Development!$C$6,A22&gt;Abandonment!$B$4),0,(J22*I21-(I21-I22)*J22*(J22+1)/24)/12)</f>
        <v>528.13748414253439</v>
      </c>
      <c r="L22" s="109">
        <f>$K22*(L$7+'Selected Economics'!$G21)</f>
        <v>39.610311310690086</v>
      </c>
      <c r="M22" s="109">
        <f>$K22*(M$7+'Selected Economics'!$G21)</f>
        <v>118.83093393207024</v>
      </c>
      <c r="N22" s="109">
        <f>$K22*(N$7+'Selected Economics'!$G21)</f>
        <v>250.86530496770385</v>
      </c>
      <c r="O22" s="109">
        <f t="shared" si="4"/>
        <v>-655.99517950261406</v>
      </c>
      <c r="P22" s="109">
        <f t="shared" si="5"/>
        <v>1522.55926444754</v>
      </c>
      <c r="Q22" s="109">
        <f t="shared" si="5"/>
        <v>5153.4833376978004</v>
      </c>
      <c r="R22" s="109">
        <f>IF(A22=Production!$B$4,Production!$B$5,IF(A22&lt;Production!$B$4,0,12+R21))</f>
        <v>29</v>
      </c>
      <c r="S22" s="109">
        <f>MIN($R22,IF(O22&lt;0,MAX(IF(Input!$B$36="Yes",MIN(12,24-R21),0),IF(AND(O21&gt;0,O22&lt;0),ROUNDDOWN(-O21/(O22-O21)*12,0)+0.5),0),12))</f>
        <v>9.5</v>
      </c>
      <c r="T22" s="109">
        <f>MAX(0,MIN($R22,IF(P22&lt;0,MAX(IF(Input!$B$36="Yes",MIN(12,36-SUM(T$11:T21)),0),IF(AND(P21&gt;0,P22&lt;0),ROUNDDOWN(-P21/(P22-P21)*12,0)+0.5),0),12))-S22)</f>
        <v>2.5</v>
      </c>
      <c r="U22" s="109">
        <f>MAX(0,MIN($R22,IF(AND(Q21&gt;0,Q22&lt;0),ROUNDDOWN(-Q21/(Q22-Q21)*12,0)+0.5,IF(AND(Q22&gt;0,MIN(Q$11:Q21)&gt;=0),12,0)))-SUM(S22:T22))</f>
        <v>0</v>
      </c>
      <c r="V22" s="109">
        <f t="shared" si="6"/>
        <v>0</v>
      </c>
      <c r="W22" s="109">
        <f t="shared" si="14"/>
        <v>4047.051710888386</v>
      </c>
      <c r="X22" s="109">
        <f t="shared" si="15"/>
        <v>91.926012399782309</v>
      </c>
      <c r="Y22" s="109">
        <f t="shared" si="7"/>
        <v>229.81503099945576</v>
      </c>
      <c r="Z22" s="109">
        <f t="shared" si="16"/>
        <v>809.41034217767719</v>
      </c>
      <c r="AA22" s="109">
        <f t="shared" si="8"/>
        <v>1416.4680988109351</v>
      </c>
      <c r="AB22" s="109">
        <f t="shared" si="17"/>
        <v>72.774759816494324</v>
      </c>
      <c r="AC22" s="109">
        <f t="shared" si="9"/>
        <v>47.878131458219947</v>
      </c>
      <c r="AD22" s="109">
        <f t="shared" si="9"/>
        <v>0</v>
      </c>
      <c r="AE22" s="109">
        <f t="shared" si="9"/>
        <v>0</v>
      </c>
      <c r="AF22" s="109">
        <f t="shared" si="18"/>
        <v>120.65289127471428</v>
      </c>
      <c r="AG22" s="109">
        <f>IF(A22=Abandonment!$B$4,-W22,0)</f>
        <v>0</v>
      </c>
      <c r="AH22" s="109">
        <f t="shared" si="19"/>
        <v>4047.051710888386</v>
      </c>
      <c r="AI22" s="109">
        <f>MIN(AH22,MAX(0,$AL$3-SUM(AI23:AI$52)))</f>
        <v>0</v>
      </c>
      <c r="AJ22" s="109">
        <f t="shared" si="22"/>
        <v>120.65289127471428</v>
      </c>
      <c r="AK22" s="109">
        <f t="shared" si="10"/>
        <v>0</v>
      </c>
      <c r="AL22" s="109">
        <f>IF($A22=Abandonment!$B$4,LossRec,0)</f>
        <v>0</v>
      </c>
      <c r="AM22" s="109">
        <f t="shared" si="11"/>
        <v>120.65289127471428</v>
      </c>
      <c r="AN22" s="64"/>
      <c r="AO22" s="64"/>
      <c r="AP22" s="64"/>
      <c r="AQ22" s="184">
        <f t="shared" si="21"/>
        <v>48761</v>
      </c>
      <c r="AR22" s="184">
        <f>IF(AND(O22&lt;0,O21&gt;0,AR21=0),DATE($A22,MAX(12-$R22,0)+SUM($S22:S22)+0.5,1),AR21)</f>
        <v>48853</v>
      </c>
      <c r="AS22" s="184">
        <f>IF(AND(P22&lt;0,P21&gt;0,AS21=0),DATE($A22,MAX(12-$R22,0)+SUM($S22:T22)+0.5,1),AS21)</f>
        <v>0</v>
      </c>
      <c r="AT22" s="184">
        <f>IF(AND(Q22&lt;0,Q21&gt;0,AT21=0),DATE($A22,MAX(12-$R22,0)+SUM($S22:U22)+0.5,1),AT21)</f>
        <v>0</v>
      </c>
      <c r="AU22" s="64"/>
      <c r="AV22" s="64"/>
      <c r="AW22" s="64"/>
      <c r="AX22" s="64"/>
      <c r="AY22" s="64"/>
      <c r="AZ22" s="64"/>
      <c r="BA22" s="64"/>
      <c r="BB22" s="64"/>
    </row>
    <row r="23" spans="1:54">
      <c r="A23" s="90">
        <f t="shared" si="20"/>
        <v>2034</v>
      </c>
      <c r="B23" s="109">
        <f>'Success Cash Flow'!E21</f>
        <v>4734.1896385887894</v>
      </c>
      <c r="C23" s="109">
        <f>IF(noteco=Lists!A$85,0,Exploration!AB48)</f>
        <v>0</v>
      </c>
      <c r="D23" s="109">
        <f>Development!BP103</f>
        <v>0</v>
      </c>
      <c r="E23" s="109">
        <f>Operations!S30</f>
        <v>565.72637637375078</v>
      </c>
      <c r="F23" s="109">
        <f>Abandonment!G27</f>
        <v>0</v>
      </c>
      <c r="G23" s="109">
        <f t="shared" si="3"/>
        <v>0</v>
      </c>
      <c r="H23" s="109">
        <f t="shared" si="12"/>
        <v>565.72637637375078</v>
      </c>
      <c r="I23" s="109">
        <f t="shared" si="13"/>
        <v>-5913.7356636927307</v>
      </c>
      <c r="J23" s="109">
        <f>IF(A23&lt;Development!$C$6,0,IF(A23=Development!C$6,Development!$D$6,IF(I23&lt;0,IF(I22&gt;0,ROUNDDOWN(-I22/(I23-I22)*12,0),0),12)))</f>
        <v>0</v>
      </c>
      <c r="K23" s="109">
        <f>IF(OR(A23&lt;Development!$C$6,A23&gt;Abandonment!$B$4),0,(J23*I22-(I22-I23)*J23*(J23+1)/24)/12)</f>
        <v>0</v>
      </c>
      <c r="L23" s="109">
        <f>$K23*(L$7+'Selected Economics'!$G22)</f>
        <v>0</v>
      </c>
      <c r="M23" s="109">
        <f>$K23*(M$7+'Selected Economics'!$G22)</f>
        <v>0</v>
      </c>
      <c r="N23" s="109">
        <f>$K23*(N$7+'Selected Economics'!$G22)</f>
        <v>0</v>
      </c>
      <c r="O23" s="109">
        <f t="shared" si="4"/>
        <v>-4824.458441717652</v>
      </c>
      <c r="P23" s="109">
        <f t="shared" si="5"/>
        <v>-2645.9039977674984</v>
      </c>
      <c r="Q23" s="109">
        <f t="shared" si="5"/>
        <v>985.02007548276197</v>
      </c>
      <c r="R23" s="109">
        <f>IF(A23=Production!$B$4,Production!$B$5,IF(A23&lt;Production!$B$4,0,12+R22))</f>
        <v>41</v>
      </c>
      <c r="S23" s="109">
        <f>MIN($R23,IF(O23&lt;0,MAX(IF(Input!$B$36="Yes",MIN(12,24-R22),0),IF(AND(O22&gt;0,O23&lt;0),ROUNDDOWN(-O22/(O23-O22)*12,0)+0.5),0),12))</f>
        <v>0</v>
      </c>
      <c r="T23" s="109">
        <f>MAX(0,MIN($R23,IF(P23&lt;0,MAX(IF(Input!$B$36="Yes",MIN(12,36-SUM(T$11:T22)),0),IF(AND(P22&gt;0,P23&lt;0),ROUNDDOWN(-P22/(P23-P22)*12,0)+0.5),0),12))-S23)</f>
        <v>4.5</v>
      </c>
      <c r="U23" s="109">
        <f>MAX(0,MIN($R23,IF(AND(Q22&gt;0,Q23&lt;0),ROUNDDOWN(-Q22/(Q23-Q22)*12,0)+0.5,IF(AND(Q23&gt;0,MIN(Q$11:Q22)&gt;=0),12,0)))-SUM(S23:T23))</f>
        <v>7.5</v>
      </c>
      <c r="V23" s="109">
        <f t="shared" si="6"/>
        <v>0</v>
      </c>
      <c r="W23" s="109">
        <f t="shared" si="14"/>
        <v>4168.4632622150384</v>
      </c>
      <c r="X23" s="109">
        <f t="shared" si="15"/>
        <v>94.683792771775785</v>
      </c>
      <c r="Y23" s="109">
        <f t="shared" si="7"/>
        <v>236.70948192943948</v>
      </c>
      <c r="Z23" s="109">
        <f t="shared" si="16"/>
        <v>833.69265244300777</v>
      </c>
      <c r="AA23" s="109">
        <f t="shared" si="8"/>
        <v>1458.9621417752633</v>
      </c>
      <c r="AB23" s="109">
        <f t="shared" si="17"/>
        <v>0</v>
      </c>
      <c r="AC23" s="109">
        <f t="shared" si="9"/>
        <v>88.766055723539807</v>
      </c>
      <c r="AD23" s="109">
        <f t="shared" si="9"/>
        <v>521.05790777687992</v>
      </c>
      <c r="AE23" s="109">
        <f t="shared" si="9"/>
        <v>0</v>
      </c>
      <c r="AF23" s="109">
        <f t="shared" si="18"/>
        <v>609.82396350041972</v>
      </c>
      <c r="AG23" s="109">
        <f>IF(A23=Abandonment!$B$4,-W23,0)</f>
        <v>0</v>
      </c>
      <c r="AH23" s="109">
        <f t="shared" si="19"/>
        <v>4168.4632622150384</v>
      </c>
      <c r="AI23" s="109">
        <f>MIN(AH23,MAX(0,$AL$3-SUM(AI24:AI$52)))</f>
        <v>0</v>
      </c>
      <c r="AJ23" s="109">
        <f t="shared" si="22"/>
        <v>609.82396350041972</v>
      </c>
      <c r="AK23" s="109">
        <f t="shared" si="10"/>
        <v>0</v>
      </c>
      <c r="AL23" s="109">
        <f>IF($A23=Abandonment!$B$4,LossRec,0)</f>
        <v>0</v>
      </c>
      <c r="AM23" s="109">
        <f t="shared" si="11"/>
        <v>609.82396350041972</v>
      </c>
      <c r="AN23" s="64"/>
      <c r="AO23" s="64"/>
      <c r="AP23" s="64"/>
      <c r="AQ23" s="184">
        <f t="shared" si="21"/>
        <v>48761</v>
      </c>
      <c r="AR23" s="184">
        <f>IF(AND(O23&lt;0,O22&gt;0,AR22=0),DATE($A23,MAX(12-$R23,0)+SUM($S23:S23)+0.5,1),AR22)</f>
        <v>48853</v>
      </c>
      <c r="AS23" s="184">
        <f>IF(AND(P23&lt;0,P22&gt;0,AS22=0),DATE($A23,MAX(12-$R23,0)+SUM($S23:T23)+0.5,1),AS22)</f>
        <v>49065</v>
      </c>
      <c r="AT23" s="184">
        <f>IF(AND(Q23&lt;0,Q22&gt;0,AT22=0),DATE($A23,MAX(12-$R23,0)+SUM($S23:U23)+0.5,1),AT22)</f>
        <v>0</v>
      </c>
      <c r="AU23" s="64"/>
      <c r="AV23" s="64"/>
      <c r="AW23" s="64"/>
      <c r="AX23" s="64"/>
      <c r="AY23" s="64"/>
      <c r="AZ23" s="64"/>
      <c r="BA23" s="64"/>
      <c r="BB23" s="64"/>
    </row>
    <row r="24" spans="1:54">
      <c r="A24" s="90">
        <f t="shared" si="20"/>
        <v>2035</v>
      </c>
      <c r="B24" s="109">
        <f>'Success Cash Flow'!E22</f>
        <v>4744.1642155327918</v>
      </c>
      <c r="C24" s="109">
        <f>IF(noteco=Lists!A$85,0,Exploration!AB49)</f>
        <v>0</v>
      </c>
      <c r="D24" s="109">
        <f>Development!BP104</f>
        <v>0</v>
      </c>
      <c r="E24" s="109">
        <f>Operations!S31</f>
        <v>572.42112562192733</v>
      </c>
      <c r="F24" s="109">
        <f>Abandonment!G28</f>
        <v>0</v>
      </c>
      <c r="G24" s="109">
        <f t="shared" si="3"/>
        <v>0</v>
      </c>
      <c r="H24" s="109">
        <f t="shared" si="12"/>
        <v>572.42112562192733</v>
      </c>
      <c r="I24" s="109">
        <f t="shared" si="13"/>
        <v>-10085.478753603595</v>
      </c>
      <c r="J24" s="109">
        <f>IF(A24&lt;Development!$C$6,0,IF(A24=Development!C$6,Development!$D$6,IF(I24&lt;0,IF(I23&gt;0,ROUNDDOWN(-I23/(I24-I23)*12,0),0),12)))</f>
        <v>0</v>
      </c>
      <c r="K24" s="109">
        <f>IF(OR(A24&lt;Development!$C$6,A24&gt;Abandonment!$B$4),0,(J24*I23-(I23-I24)*J24*(J24+1)/24)/12)</f>
        <v>0</v>
      </c>
      <c r="L24" s="109">
        <f>$K24*(L$7+'Selected Economics'!$G23)</f>
        <v>0</v>
      </c>
      <c r="M24" s="109">
        <f>$K24*(M$7+'Selected Economics'!$G23)</f>
        <v>0</v>
      </c>
      <c r="N24" s="109">
        <f>$K24*(N$7+'Selected Economics'!$G23)</f>
        <v>0</v>
      </c>
      <c r="O24" s="109">
        <f t="shared" si="4"/>
        <v>-8996.201531628516</v>
      </c>
      <c r="P24" s="109">
        <f t="shared" si="5"/>
        <v>-6817.6470876783624</v>
      </c>
      <c r="Q24" s="109">
        <f t="shared" si="5"/>
        <v>-3186.723014428102</v>
      </c>
      <c r="R24" s="109">
        <f>IF(A24=Production!$B$4,Production!$B$5,IF(A24&lt;Production!$B$4,0,12+R23))</f>
        <v>53</v>
      </c>
      <c r="S24" s="109">
        <f>MIN($R24,IF(O24&lt;0,MAX(IF(Input!$B$36="Yes",MIN(12,24-R23),0),IF(AND(O23&gt;0,O24&lt;0),ROUNDDOWN(-O23/(O24-O23)*12,0)+0.5),0),12))</f>
        <v>0</v>
      </c>
      <c r="T24" s="109">
        <f>MAX(0,MIN($R24,IF(P24&lt;0,MAX(IF(Input!$B$36="Yes",MIN(12,36-SUM(T$11:T23)),0),IF(AND(P23&gt;0,P24&lt;0),ROUNDDOWN(-P23/(P24-P23)*12,0)+0.5),0),12))-S24)</f>
        <v>0</v>
      </c>
      <c r="U24" s="109">
        <f>MAX(0,MIN($R24,IF(AND(Q23&gt;0,Q24&lt;0),ROUNDDOWN(-Q23/(Q24-Q23)*12,0)+0.5,IF(AND(Q24&gt;0,MIN(Q$11:Q23)&gt;=0),12,0)))-SUM(S24:T24))</f>
        <v>2.5</v>
      </c>
      <c r="V24" s="109">
        <f t="shared" si="6"/>
        <v>9.5</v>
      </c>
      <c r="W24" s="109">
        <f t="shared" si="14"/>
        <v>4171.743089910864</v>
      </c>
      <c r="X24" s="109">
        <f t="shared" si="15"/>
        <v>94.883284310655839</v>
      </c>
      <c r="Y24" s="109">
        <f t="shared" si="7"/>
        <v>237.20821077663959</v>
      </c>
      <c r="Z24" s="109">
        <f t="shared" si="16"/>
        <v>834.34861798217287</v>
      </c>
      <c r="AA24" s="109">
        <f t="shared" si="8"/>
        <v>1460.1100814688023</v>
      </c>
      <c r="AB24" s="109">
        <f t="shared" si="17"/>
        <v>0</v>
      </c>
      <c r="AC24" s="109">
        <f t="shared" si="9"/>
        <v>0</v>
      </c>
      <c r="AD24" s="109">
        <f t="shared" si="9"/>
        <v>173.822628746286</v>
      </c>
      <c r="AE24" s="109">
        <f t="shared" si="9"/>
        <v>1155.9204811628017</v>
      </c>
      <c r="AF24" s="109">
        <f t="shared" si="18"/>
        <v>1329.7431099090877</v>
      </c>
      <c r="AG24" s="109">
        <f>IF(A24=Abandonment!$B$4,-W24,0)</f>
        <v>0</v>
      </c>
      <c r="AH24" s="109">
        <f t="shared" si="19"/>
        <v>4171.743089910864</v>
      </c>
      <c r="AI24" s="109">
        <f>MIN(AH24,MAX(0,$AL$3-SUM(AI25:AI$52)))</f>
        <v>0</v>
      </c>
      <c r="AJ24" s="109">
        <f t="shared" si="22"/>
        <v>1329.7431099090877</v>
      </c>
      <c r="AK24" s="109">
        <f t="shared" si="10"/>
        <v>0</v>
      </c>
      <c r="AL24" s="109">
        <f>IF($A24=Abandonment!$B$4,LossRec,0)</f>
        <v>0</v>
      </c>
      <c r="AM24" s="109">
        <f t="shared" si="11"/>
        <v>1329.7431099090877</v>
      </c>
      <c r="AN24" s="64"/>
      <c r="AO24" s="64"/>
      <c r="AP24" s="64"/>
      <c r="AQ24" s="184">
        <f t="shared" si="21"/>
        <v>48761</v>
      </c>
      <c r="AR24" s="184">
        <f>IF(AND(O24&lt;0,O23&gt;0,AR23=0),DATE($A24,MAX(12-$R24,0)+SUM($S24:S24)+0.5,1),AR23)</f>
        <v>48853</v>
      </c>
      <c r="AS24" s="184">
        <f>IF(AND(P24&lt;0,P23&gt;0,AS23=0),DATE($A24,MAX(12-$R24,0)+SUM($S24:T24)+0.5,1),AS23)</f>
        <v>49065</v>
      </c>
      <c r="AT24" s="184">
        <f>IF(AND(Q24&lt;0,Q23&gt;0,AT23=0),DATE($A24,MAX(12-$R24,0)+SUM($S24:U24)+0.5,1),AT23)</f>
        <v>49369</v>
      </c>
      <c r="AU24" s="64"/>
      <c r="AV24" s="64"/>
      <c r="AW24" s="64"/>
      <c r="AX24" s="64"/>
      <c r="AY24" s="64"/>
      <c r="AZ24" s="64"/>
      <c r="BA24" s="64"/>
      <c r="BB24" s="64"/>
    </row>
    <row r="25" spans="1:54">
      <c r="A25" s="90">
        <f t="shared" si="20"/>
        <v>2036</v>
      </c>
      <c r="B25" s="109">
        <f>'Success Cash Flow'!E23</f>
        <v>4224.8250692278016</v>
      </c>
      <c r="C25" s="109">
        <f>IF(noteco=Lists!A$85,0,Exploration!AB50)</f>
        <v>0</v>
      </c>
      <c r="D25" s="109">
        <f>Development!BP105</f>
        <v>0</v>
      </c>
      <c r="E25" s="109">
        <f>Operations!S32</f>
        <v>537.56963662481212</v>
      </c>
      <c r="F25" s="109">
        <f>Abandonment!G29</f>
        <v>0</v>
      </c>
      <c r="G25" s="109">
        <f t="shared" si="3"/>
        <v>0</v>
      </c>
      <c r="H25" s="109">
        <f t="shared" si="12"/>
        <v>537.56963662481212</v>
      </c>
      <c r="I25" s="109">
        <f t="shared" si="13"/>
        <v>-13772.734186206584</v>
      </c>
      <c r="J25" s="109">
        <f>IF(A25&lt;Development!$C$6,0,IF(A25=Development!C$6,Development!$D$6,IF(I25&lt;0,IF(I24&gt;0,ROUNDDOWN(-I24/(I25-I24)*12,0),0),12)))</f>
        <v>0</v>
      </c>
      <c r="K25" s="109">
        <f>IF(OR(A25&lt;Development!$C$6,A25&gt;Abandonment!$B$4),0,(J25*I24-(I24-I25)*J25*(J25+1)/24)/12)</f>
        <v>0</v>
      </c>
      <c r="L25" s="109">
        <f>$K25*(L$7+'Selected Economics'!$G24)</f>
        <v>0</v>
      </c>
      <c r="M25" s="109">
        <f>$K25*(M$7+'Selected Economics'!$G24)</f>
        <v>0</v>
      </c>
      <c r="N25" s="109">
        <f>$K25*(N$7+'Selected Economics'!$G24)</f>
        <v>0</v>
      </c>
      <c r="O25" s="109">
        <f t="shared" si="4"/>
        <v>-12683.456964231505</v>
      </c>
      <c r="P25" s="109">
        <f t="shared" si="5"/>
        <v>-10504.902520281352</v>
      </c>
      <c r="Q25" s="109">
        <f t="shared" si="5"/>
        <v>-6873.9784470310915</v>
      </c>
      <c r="R25" s="109">
        <f>IF(A25=Production!$B$4,Production!$B$5,IF(A25&lt;Production!$B$4,0,12+R24))</f>
        <v>65</v>
      </c>
      <c r="S25" s="109">
        <f>MIN($R25,IF(O25&lt;0,MAX(IF(Input!$B$36="Yes",MIN(12,24-R24),0),IF(AND(O24&gt;0,O25&lt;0),ROUNDDOWN(-O24/(O25-O24)*12,0)+0.5),0),12))</f>
        <v>0</v>
      </c>
      <c r="T25" s="109">
        <f>MAX(0,MIN($R25,IF(P25&lt;0,MAX(IF(Input!$B$36="Yes",MIN(12,36-SUM(T$11:T24)),0),IF(AND(P24&gt;0,P25&lt;0),ROUNDDOWN(-P24/(P25-P24)*12,0)+0.5),0),12))-S25)</f>
        <v>0</v>
      </c>
      <c r="U25" s="109">
        <f>MAX(0,MIN($R25,IF(AND(Q24&gt;0,Q25&lt;0),ROUNDDOWN(-Q24/(Q25-Q24)*12,0)+0.5,IF(AND(Q25&gt;0,MIN(Q$11:Q24)&gt;=0),12,0)))-SUM(S25:T25))</f>
        <v>0</v>
      </c>
      <c r="V25" s="109">
        <f t="shared" si="6"/>
        <v>12</v>
      </c>
      <c r="W25" s="109">
        <f t="shared" si="14"/>
        <v>3687.2554326029895</v>
      </c>
      <c r="X25" s="109">
        <f t="shared" si="15"/>
        <v>84.496501384556026</v>
      </c>
      <c r="Y25" s="109">
        <f t="shared" si="7"/>
        <v>211.2412534613901</v>
      </c>
      <c r="Z25" s="109">
        <f t="shared" si="16"/>
        <v>737.45108652059798</v>
      </c>
      <c r="AA25" s="109">
        <f t="shared" si="8"/>
        <v>1290.5394014110461</v>
      </c>
      <c r="AB25" s="109">
        <f t="shared" si="17"/>
        <v>0</v>
      </c>
      <c r="AC25" s="109">
        <f t="shared" si="9"/>
        <v>0</v>
      </c>
      <c r="AD25" s="109">
        <f t="shared" si="9"/>
        <v>0</v>
      </c>
      <c r="AE25" s="109">
        <f t="shared" si="9"/>
        <v>1290.5394014110461</v>
      </c>
      <c r="AF25" s="109">
        <f t="shared" si="18"/>
        <v>1290.5394014110461</v>
      </c>
      <c r="AG25" s="109">
        <f>IF(A25=Abandonment!$B$4,-W25,0)</f>
        <v>0</v>
      </c>
      <c r="AH25" s="109">
        <f t="shared" si="19"/>
        <v>3687.2554326029895</v>
      </c>
      <c r="AI25" s="109">
        <f>MIN(AH25,MAX(0,$AL$3-SUM(AI26:AI$52)))</f>
        <v>0</v>
      </c>
      <c r="AJ25" s="109">
        <f t="shared" si="22"/>
        <v>1290.5394014110461</v>
      </c>
      <c r="AK25" s="109">
        <f t="shared" si="10"/>
        <v>0</v>
      </c>
      <c r="AL25" s="109">
        <f>IF($A25=Abandonment!$B$4,LossRec,0)</f>
        <v>0</v>
      </c>
      <c r="AM25" s="109">
        <f t="shared" si="11"/>
        <v>1290.5394014110461</v>
      </c>
      <c r="AN25" s="64"/>
      <c r="AO25" s="64"/>
      <c r="AP25" s="64"/>
      <c r="AQ25" s="184">
        <f t="shared" si="21"/>
        <v>48761</v>
      </c>
      <c r="AR25" s="184">
        <f>IF(AND(O25&lt;0,O24&gt;0,AR24=0),DATE($A25,MAX(12-$R25,0)+SUM($S25:S25)+0.5,1),AR24)</f>
        <v>48853</v>
      </c>
      <c r="AS25" s="184">
        <f>IF(AND(P25&lt;0,P24&gt;0,AS24=0),DATE($A25,MAX(12-$R25,0)+SUM($S25:T25)+0.5,1),AS24)</f>
        <v>49065</v>
      </c>
      <c r="AT25" s="184">
        <f>IF(AND(Q25&lt;0,Q24&gt;0,AT24=0),DATE($A25,MAX(12-$R25,0)+SUM($S25:U25)+0.5,1),AT24)</f>
        <v>49369</v>
      </c>
      <c r="AU25" s="64"/>
      <c r="AV25" s="64"/>
      <c r="AW25" s="64"/>
      <c r="AX25" s="64"/>
      <c r="AY25" s="64"/>
      <c r="AZ25" s="64"/>
      <c r="BA25" s="64"/>
      <c r="BB25" s="64"/>
    </row>
    <row r="26" spans="1:54">
      <c r="A26" s="90">
        <f t="shared" si="20"/>
        <v>2037</v>
      </c>
      <c r="B26" s="109">
        <f>'Success Cash Flow'!E24</f>
        <v>3687.8848585770402</v>
      </c>
      <c r="C26" s="109">
        <f>IF(noteco=Lists!A$85,0,Exploration!AB51)</f>
        <v>0</v>
      </c>
      <c r="D26" s="109">
        <f>Development!BP106</f>
        <v>0</v>
      </c>
      <c r="E26" s="109">
        <f>Operations!S33</f>
        <v>502.58979023581759</v>
      </c>
      <c r="F26" s="109">
        <f>Abandonment!G30</f>
        <v>0</v>
      </c>
      <c r="G26" s="109">
        <f t="shared" si="3"/>
        <v>0</v>
      </c>
      <c r="H26" s="109">
        <f t="shared" si="12"/>
        <v>502.58979023581759</v>
      </c>
      <c r="I26" s="109">
        <f t="shared" si="13"/>
        <v>-16958.029254547808</v>
      </c>
      <c r="J26" s="109">
        <f>IF(A26&lt;Development!$C$6,0,IF(A26=Development!C$6,Development!$D$6,IF(I26&lt;0,IF(I25&gt;0,ROUNDDOWN(-I25/(I26-I25)*12,0),0),12)))</f>
        <v>0</v>
      </c>
      <c r="K26" s="109">
        <f>IF(OR(A26&lt;Development!$C$6,A26&gt;Abandonment!$B$4),0,(J26*I25-(I25-I26)*J26*(J26+1)/24)/12)</f>
        <v>0</v>
      </c>
      <c r="L26" s="109">
        <f>$K26*(L$7+'Selected Economics'!$G25)</f>
        <v>0</v>
      </c>
      <c r="M26" s="109">
        <f>$K26*(M$7+'Selected Economics'!$G25)</f>
        <v>0</v>
      </c>
      <c r="N26" s="109">
        <f>$K26*(N$7+'Selected Economics'!$G25)</f>
        <v>0</v>
      </c>
      <c r="O26" s="109">
        <f t="shared" si="4"/>
        <v>-15868.752032572727</v>
      </c>
      <c r="P26" s="109">
        <f t="shared" si="5"/>
        <v>-13690.197588622574</v>
      </c>
      <c r="Q26" s="109">
        <f t="shared" si="5"/>
        <v>-10059.273515372315</v>
      </c>
      <c r="R26" s="109">
        <f>IF(A26=Production!$B$4,Production!$B$5,IF(A26&lt;Production!$B$4,0,12+R25))</f>
        <v>77</v>
      </c>
      <c r="S26" s="109">
        <f>MIN($R26,IF(O26&lt;0,MAX(IF(Input!$B$36="Yes",MIN(12,24-R25),0),IF(AND(O25&gt;0,O26&lt;0),ROUNDDOWN(-O25/(O26-O25)*12,0)+0.5),0),12))</f>
        <v>0</v>
      </c>
      <c r="T26" s="109">
        <f>MAX(0,MIN($R26,IF(P26&lt;0,MAX(IF(Input!$B$36="Yes",MIN(12,36-SUM(T$11:T25)),0),IF(AND(P25&gt;0,P26&lt;0),ROUNDDOWN(-P25/(P26-P25)*12,0)+0.5),0),12))-S26)</f>
        <v>0</v>
      </c>
      <c r="U26" s="109">
        <f>MAX(0,MIN($R26,IF(AND(Q25&gt;0,Q26&lt;0),ROUNDDOWN(-Q25/(Q26-Q25)*12,0)+0.5,IF(AND(Q26&gt;0,MIN(Q$11:Q25)&gt;=0),12,0)))-SUM(S26:T26))</f>
        <v>0</v>
      </c>
      <c r="V26" s="109">
        <f t="shared" si="6"/>
        <v>12</v>
      </c>
      <c r="W26" s="109">
        <f t="shared" si="14"/>
        <v>3185.2950683412228</v>
      </c>
      <c r="X26" s="109">
        <f t="shared" si="15"/>
        <v>73.757697171540812</v>
      </c>
      <c r="Y26" s="109">
        <f t="shared" si="7"/>
        <v>184.39424292885201</v>
      </c>
      <c r="Z26" s="109">
        <f t="shared" si="16"/>
        <v>637.05901366824457</v>
      </c>
      <c r="AA26" s="109">
        <f t="shared" si="8"/>
        <v>1114.8532739194279</v>
      </c>
      <c r="AB26" s="109">
        <f t="shared" si="17"/>
        <v>0</v>
      </c>
      <c r="AC26" s="109">
        <f t="shared" si="9"/>
        <v>0</v>
      </c>
      <c r="AD26" s="109">
        <f t="shared" si="9"/>
        <v>0</v>
      </c>
      <c r="AE26" s="109">
        <f t="shared" si="9"/>
        <v>1114.8532739194279</v>
      </c>
      <c r="AF26" s="109">
        <f t="shared" si="18"/>
        <v>1114.8532739194279</v>
      </c>
      <c r="AG26" s="109">
        <f>IF(A26=Abandonment!$B$4,-W26,0)</f>
        <v>0</v>
      </c>
      <c r="AH26" s="109">
        <f t="shared" si="19"/>
        <v>3185.2950683412228</v>
      </c>
      <c r="AI26" s="109">
        <f>MIN(AH26,MAX(0,$AL$3-SUM(AI27:AI$52)))</f>
        <v>0</v>
      </c>
      <c r="AJ26" s="109">
        <f t="shared" si="22"/>
        <v>1114.8532739194279</v>
      </c>
      <c r="AK26" s="109">
        <f t="shared" si="10"/>
        <v>0</v>
      </c>
      <c r="AL26" s="109">
        <f>IF($A26=Abandonment!$B$4,LossRec,0)</f>
        <v>0</v>
      </c>
      <c r="AM26" s="109">
        <f t="shared" si="11"/>
        <v>1114.8532739194279</v>
      </c>
      <c r="AN26" s="64"/>
      <c r="AO26" s="64"/>
      <c r="AP26" s="64"/>
      <c r="AQ26" s="184">
        <f t="shared" si="21"/>
        <v>48761</v>
      </c>
      <c r="AR26" s="184">
        <f>IF(AND(O26&lt;0,O25&gt;0,AR25=0),DATE($A26,MAX(12-$R26,0)+SUM($S26:S26)+0.5,1),AR25)</f>
        <v>48853</v>
      </c>
      <c r="AS26" s="184">
        <f>IF(AND(P26&lt;0,P25&gt;0,AS25=0),DATE($A26,MAX(12-$R26,0)+SUM($S26:T26)+0.5,1),AS25)</f>
        <v>49065</v>
      </c>
      <c r="AT26" s="184">
        <f>IF(AND(Q26&lt;0,Q25&gt;0,AT25=0),DATE($A26,MAX(12-$R26,0)+SUM($S26:U26)+0.5,1),AT25)</f>
        <v>49369</v>
      </c>
      <c r="AU26" s="64"/>
      <c r="AV26" s="64"/>
      <c r="AW26" s="64"/>
      <c r="AX26" s="64"/>
      <c r="AY26" s="64"/>
      <c r="AZ26" s="64"/>
      <c r="BA26" s="64"/>
      <c r="BB26" s="64"/>
    </row>
    <row r="27" spans="1:54">
      <c r="A27" s="90">
        <f t="shared" si="20"/>
        <v>2038</v>
      </c>
      <c r="B27" s="109">
        <f>'Success Cash Flow'!E25</f>
        <v>3228.7431936841967</v>
      </c>
      <c r="C27" s="109">
        <f>IF(noteco=Lists!A$85,0,Exploration!AB52)</f>
        <v>0</v>
      </c>
      <c r="D27" s="109">
        <f>Development!BP107</f>
        <v>0</v>
      </c>
      <c r="E27" s="109">
        <f>Operations!S34</f>
        <v>473.3237860527683</v>
      </c>
      <c r="F27" s="109">
        <f>Abandonment!G31</f>
        <v>0</v>
      </c>
      <c r="G27" s="109">
        <f t="shared" si="3"/>
        <v>0</v>
      </c>
      <c r="H27" s="109">
        <f t="shared" si="12"/>
        <v>473.3237860527683</v>
      </c>
      <c r="I27" s="109">
        <f t="shared" si="13"/>
        <v>-19713.448662179235</v>
      </c>
      <c r="J27" s="109">
        <f>IF(A27&lt;Development!$C$6,0,IF(A27=Development!C$6,Development!$D$6,IF(I27&lt;0,IF(I26&gt;0,ROUNDDOWN(-I26/(I27-I26)*12,0),0),12)))</f>
        <v>0</v>
      </c>
      <c r="K27" s="109">
        <f>IF(OR(A27&lt;Development!$C$6,A27&gt;Abandonment!$B$4),0,(J27*I26-(I26-I27)*J27*(J27+1)/24)/12)</f>
        <v>0</v>
      </c>
      <c r="L27" s="109">
        <f>$K27*(L$7+'Selected Economics'!$G26)</f>
        <v>0</v>
      </c>
      <c r="M27" s="109">
        <f>$K27*(M$7+'Selected Economics'!$G26)</f>
        <v>0</v>
      </c>
      <c r="N27" s="109">
        <f>$K27*(N$7+'Selected Economics'!$G26)</f>
        <v>0</v>
      </c>
      <c r="O27" s="109">
        <f t="shared" si="4"/>
        <v>-18624.171440204154</v>
      </c>
      <c r="P27" s="109">
        <f t="shared" si="5"/>
        <v>-16445.616996254001</v>
      </c>
      <c r="Q27" s="109">
        <f t="shared" si="5"/>
        <v>-12814.692923003744</v>
      </c>
      <c r="R27" s="109">
        <f>IF(A27=Production!$B$4,Production!$B$5,IF(A27&lt;Production!$B$4,0,12+R26))</f>
        <v>89</v>
      </c>
      <c r="S27" s="109">
        <f>MIN($R27,IF(O27&lt;0,MAX(IF(Input!$B$36="Yes",MIN(12,24-R26),0),IF(AND(O26&gt;0,O27&lt;0),ROUNDDOWN(-O26/(O27-O26)*12,0)+0.5),0),12))</f>
        <v>0</v>
      </c>
      <c r="T27" s="109">
        <f>MAX(0,MIN($R27,IF(P27&lt;0,MAX(IF(Input!$B$36="Yes",MIN(12,36-SUM(T$11:T26)),0),IF(AND(P26&gt;0,P27&lt;0),ROUNDDOWN(-P26/(P27-P26)*12,0)+0.5),0),12))-S27)</f>
        <v>0</v>
      </c>
      <c r="U27" s="109">
        <f>MAX(0,MIN($R27,IF(AND(Q26&gt;0,Q27&lt;0),ROUNDDOWN(-Q26/(Q27-Q26)*12,0)+0.5,IF(AND(Q27&gt;0,MIN(Q$11:Q26)&gt;=0),12,0)))-SUM(S27:T27))</f>
        <v>0</v>
      </c>
      <c r="V27" s="109">
        <f t="shared" si="6"/>
        <v>12</v>
      </c>
      <c r="W27" s="109">
        <f t="shared" si="14"/>
        <v>2755.4194076314284</v>
      </c>
      <c r="X27" s="109">
        <f t="shared" si="15"/>
        <v>64.574863873683938</v>
      </c>
      <c r="Y27" s="109">
        <f t="shared" si="7"/>
        <v>161.43715968420986</v>
      </c>
      <c r="Z27" s="109">
        <f t="shared" si="16"/>
        <v>551.08388152628572</v>
      </c>
      <c r="AA27" s="109">
        <f t="shared" si="8"/>
        <v>964.39679267099984</v>
      </c>
      <c r="AB27" s="109">
        <f t="shared" si="17"/>
        <v>0</v>
      </c>
      <c r="AC27" s="109">
        <f t="shared" si="9"/>
        <v>0</v>
      </c>
      <c r="AD27" s="109">
        <f t="shared" si="9"/>
        <v>0</v>
      </c>
      <c r="AE27" s="109">
        <f t="shared" si="9"/>
        <v>964.39679267099984</v>
      </c>
      <c r="AF27" s="109">
        <f t="shared" si="18"/>
        <v>964.39679267099984</v>
      </c>
      <c r="AG27" s="109">
        <f>IF(A27=Abandonment!$B$4,-W27,0)</f>
        <v>0</v>
      </c>
      <c r="AH27" s="109">
        <f t="shared" si="19"/>
        <v>2755.4194076314284</v>
      </c>
      <c r="AI27" s="109">
        <f>MIN(AH27,MAX(0,$AL$3-SUM(AI28:AI$52)))</f>
        <v>0</v>
      </c>
      <c r="AJ27" s="109">
        <f t="shared" si="22"/>
        <v>964.39679267099984</v>
      </c>
      <c r="AK27" s="109">
        <f t="shared" si="10"/>
        <v>0</v>
      </c>
      <c r="AL27" s="109">
        <f>IF($A27=Abandonment!$B$4,LossRec,0)</f>
        <v>0</v>
      </c>
      <c r="AM27" s="109">
        <f t="shared" si="11"/>
        <v>964.39679267099984</v>
      </c>
      <c r="AN27" s="64"/>
      <c r="AO27" s="64"/>
      <c r="AP27" s="64"/>
      <c r="AQ27" s="184">
        <f t="shared" si="21"/>
        <v>48761</v>
      </c>
      <c r="AR27" s="184">
        <f>IF(AND(O27&lt;0,O26&gt;0,AR26=0),DATE($A27,MAX(12-$R27,0)+SUM($S27:S27)+0.5,1),AR26)</f>
        <v>48853</v>
      </c>
      <c r="AS27" s="184">
        <f>IF(AND(P27&lt;0,P26&gt;0,AS26=0),DATE($A27,MAX(12-$R27,0)+SUM($S27:T27)+0.5,1),AS26)</f>
        <v>49065</v>
      </c>
      <c r="AT27" s="184">
        <f>IF(AND(Q27&lt;0,Q26&gt;0,AT26=0),DATE($A27,MAX(12-$R27,0)+SUM($S27:U27)+0.5,1),AT26)</f>
        <v>49369</v>
      </c>
      <c r="AU27" s="64"/>
      <c r="AV27" s="64"/>
      <c r="AW27" s="64"/>
      <c r="AX27" s="64"/>
      <c r="AY27" s="64"/>
      <c r="AZ27" s="64"/>
      <c r="BA27" s="64"/>
      <c r="BB27" s="64"/>
    </row>
    <row r="28" spans="1:54">
      <c r="A28" s="90">
        <f t="shared" si="20"/>
        <v>2039</v>
      </c>
      <c r="B28" s="109">
        <f>'Success Cash Flow'!E26</f>
        <v>2826.7646660705136</v>
      </c>
      <c r="C28" s="109">
        <f>IF(noteco=Lists!A$85,0,Exploration!AB53)</f>
        <v>0</v>
      </c>
      <c r="D28" s="109">
        <f>Development!BP108</f>
        <v>0</v>
      </c>
      <c r="E28" s="109">
        <f>Operations!S35</f>
        <v>448.70059213154815</v>
      </c>
      <c r="F28" s="109">
        <f>Abandonment!G32</f>
        <v>0</v>
      </c>
      <c r="G28" s="109">
        <f t="shared" si="3"/>
        <v>0</v>
      </c>
      <c r="H28" s="109">
        <f t="shared" si="12"/>
        <v>448.70059213154815</v>
      </c>
      <c r="I28" s="109">
        <f t="shared" si="13"/>
        <v>-22091.512736118202</v>
      </c>
      <c r="J28" s="109">
        <f>IF(A28&lt;Development!$C$6,0,IF(A28=Development!C$6,Development!$D$6,IF(I28&lt;0,IF(I27&gt;0,ROUNDDOWN(-I27/(I28-I27)*12,0),0),12)))</f>
        <v>0</v>
      </c>
      <c r="K28" s="109">
        <f>IF(OR(A28&lt;Development!$C$6,A28&gt;Abandonment!$B$4),0,(J28*I27-(I27-I28)*J28*(J28+1)/24)/12)</f>
        <v>0</v>
      </c>
      <c r="L28" s="109">
        <f>$K28*(L$7+'Selected Economics'!$G27)</f>
        <v>0</v>
      </c>
      <c r="M28" s="109">
        <f>$K28*(M$7+'Selected Economics'!$G27)</f>
        <v>0</v>
      </c>
      <c r="N28" s="109">
        <f>$K28*(N$7+'Selected Economics'!$G27)</f>
        <v>0</v>
      </c>
      <c r="O28" s="109">
        <f t="shared" si="4"/>
        <v>-21002.235514143118</v>
      </c>
      <c r="P28" s="109">
        <f>$H28-$B28+M28+P27</f>
        <v>-18823.681070192964</v>
      </c>
      <c r="Q28" s="109">
        <f>$H28-$B28+N28+Q27</f>
        <v>-15192.75699694271</v>
      </c>
      <c r="R28" s="109">
        <f>IF(A28=Production!$B$4,Production!$B$5,IF(A28&lt;Production!$B$4,0,12+R27))</f>
        <v>101</v>
      </c>
      <c r="S28" s="109">
        <f>MIN($R28,IF(O28&lt;0,MAX(IF(Input!$B$36="Yes",MIN(12,24-R27),0),IF(AND(O27&gt;0,O28&lt;0),ROUNDDOWN(-O27/(O28-O27)*12,0)+0.5),0),12))</f>
        <v>0</v>
      </c>
      <c r="T28" s="109">
        <f>MAX(0,MIN($R28,IF(P28&lt;0,MAX(IF(Input!$B$36="Yes",MIN(12,36-SUM(T$11:T27)),0),IF(AND(P27&gt;0,P28&lt;0),ROUNDDOWN(-P27/(P28-P27)*12,0)+0.5),0),12))-S28)</f>
        <v>0</v>
      </c>
      <c r="U28" s="109">
        <f>MAX(0,MIN($R28,IF(AND(Q27&gt;0,Q28&lt;0),ROUNDDOWN(-Q27/(Q28-Q27)*12,0)+0.5,IF(AND(Q28&gt;0,MIN(Q$11:Q27)&gt;=0),12,0)))-SUM(S28:T28))</f>
        <v>0</v>
      </c>
      <c r="V28" s="109">
        <f t="shared" si="6"/>
        <v>12</v>
      </c>
      <c r="W28" s="109">
        <f t="shared" si="14"/>
        <v>2378.0640739389655</v>
      </c>
      <c r="X28" s="109">
        <f t="shared" si="15"/>
        <v>56.535293321410272</v>
      </c>
      <c r="Y28" s="109">
        <f t="shared" si="7"/>
        <v>141.3382333035257</v>
      </c>
      <c r="Z28" s="109">
        <f t="shared" si="16"/>
        <v>475.61281478779313</v>
      </c>
      <c r="AA28" s="109">
        <f t="shared" si="8"/>
        <v>832.32242587863789</v>
      </c>
      <c r="AB28" s="109">
        <f t="shared" si="17"/>
        <v>0</v>
      </c>
      <c r="AC28" s="109">
        <f t="shared" si="9"/>
        <v>0</v>
      </c>
      <c r="AD28" s="109">
        <f t="shared" si="9"/>
        <v>0</v>
      </c>
      <c r="AE28" s="109">
        <f t="shared" si="9"/>
        <v>832.322425878638</v>
      </c>
      <c r="AF28" s="109">
        <f t="shared" si="18"/>
        <v>832.322425878638</v>
      </c>
      <c r="AG28" s="109">
        <f>IF(A28=Abandonment!$B$4,-W28,0)</f>
        <v>0</v>
      </c>
      <c r="AH28" s="109">
        <f t="shared" si="19"/>
        <v>2378.0640739389655</v>
      </c>
      <c r="AI28" s="109">
        <f>MIN(AH28,MAX(0,$AL$3-SUM(AI29:AI$52)))</f>
        <v>0</v>
      </c>
      <c r="AJ28" s="109">
        <f t="shared" si="22"/>
        <v>832.322425878638</v>
      </c>
      <c r="AK28" s="109">
        <f t="shared" si="10"/>
        <v>0</v>
      </c>
      <c r="AL28" s="109">
        <f>IF($A28=Abandonment!$B$4,LossRec,0)</f>
        <v>0</v>
      </c>
      <c r="AM28" s="109">
        <f t="shared" si="11"/>
        <v>832.322425878638</v>
      </c>
      <c r="AN28" s="64"/>
      <c r="AO28" s="64"/>
      <c r="AP28" s="64"/>
      <c r="AQ28" s="184">
        <f t="shared" si="21"/>
        <v>48761</v>
      </c>
      <c r="AR28" s="184">
        <f>IF(AND(O28&lt;0,O27&gt;0,AR27=0),DATE($A28,MAX(12-$R28,0)+SUM($S28:S28)+0.5,1),AR27)</f>
        <v>48853</v>
      </c>
      <c r="AS28" s="184">
        <f>IF(AND(P28&lt;0,P27&gt;0,AS27=0),DATE($A28,MAX(12-$R28,0)+SUM($S28:T28)+0.5,1),AS27)</f>
        <v>49065</v>
      </c>
      <c r="AT28" s="184">
        <f>IF(AND(Q28&lt;0,Q27&gt;0,AT27=0),DATE($A28,MAX(12-$R28,0)+SUM($S28:U28)+0.5,1),AT27)</f>
        <v>49369</v>
      </c>
      <c r="AU28" s="64"/>
      <c r="AV28" s="64"/>
      <c r="AW28" s="64"/>
      <c r="AX28" s="64"/>
      <c r="AY28" s="64"/>
      <c r="AZ28" s="64"/>
      <c r="BA28" s="64"/>
      <c r="BB28" s="64"/>
    </row>
    <row r="29" spans="1:54">
      <c r="A29" s="90">
        <f t="shared" si="20"/>
        <v>2040</v>
      </c>
      <c r="B29" s="109">
        <f>'Success Cash Flow'!E27</f>
        <v>2481.0753866856876</v>
      </c>
      <c r="C29" s="109">
        <f>IF(noteco=Lists!A$85,0,Exploration!AB54)</f>
        <v>0</v>
      </c>
      <c r="D29" s="109">
        <f>Development!BP109</f>
        <v>0</v>
      </c>
      <c r="E29" s="109">
        <f>Operations!S36</f>
        <v>428.34718410409658</v>
      </c>
      <c r="F29" s="109">
        <f>Abandonment!G33</f>
        <v>0</v>
      </c>
      <c r="G29" s="109">
        <f t="shared" si="3"/>
        <v>0</v>
      </c>
      <c r="H29" s="109">
        <f t="shared" si="12"/>
        <v>428.34718410409658</v>
      </c>
      <c r="I29" s="109">
        <f t="shared" si="13"/>
        <v>-24144.240938699793</v>
      </c>
      <c r="J29" s="109">
        <f>IF(A29&lt;Development!$C$6,0,IF(A29=Development!C$6,Development!$D$6,IF(I29&lt;0,IF(I28&gt;0,ROUNDDOWN(-I28/(I29-I28)*12,0),0),12)))</f>
        <v>0</v>
      </c>
      <c r="K29" s="109">
        <f>IF(OR(A29&lt;Development!$C$6,A29&gt;Abandonment!$B$4),0,(J29*I28-(I28-I29)*J29*(J29+1)/24)/12)</f>
        <v>0</v>
      </c>
      <c r="L29" s="109">
        <f>$K29*(L$7+'Selected Economics'!$G28)</f>
        <v>0</v>
      </c>
      <c r="M29" s="109">
        <f>$K29*(M$7+'Selected Economics'!$G28)</f>
        <v>0</v>
      </c>
      <c r="N29" s="109">
        <f>$K29*(N$7+'Selected Economics'!$G28)</f>
        <v>0</v>
      </c>
      <c r="O29" s="109">
        <f t="shared" ref="O29:Q44" si="23">$H29-$B29+L29+O28</f>
        <v>-23054.963716724709</v>
      </c>
      <c r="P29" s="109">
        <f t="shared" si="23"/>
        <v>-20876.409272774556</v>
      </c>
      <c r="Q29" s="109">
        <f t="shared" si="23"/>
        <v>-17245.485199524301</v>
      </c>
      <c r="R29" s="109">
        <f>IF(A29=Production!$B$4,Production!$B$5,IF(A29&lt;Production!$B$4,0,12+R28))</f>
        <v>113</v>
      </c>
      <c r="S29" s="109">
        <f>MIN($R29,IF(O29&lt;0,MAX(IF(Input!$B$36="Yes",MIN(12,24-R28),0),IF(AND(O28&gt;0,O29&lt;0),ROUNDDOWN(-O28/(O29-O28)*12,0)+0.5),0),12))</f>
        <v>0</v>
      </c>
      <c r="T29" s="109">
        <f>MAX(0,MIN($R29,IF(P29&lt;0,MAX(IF(Input!$B$36="Yes",MIN(12,36-SUM(T$11:T28)),0),IF(AND(P28&gt;0,P29&lt;0),ROUNDDOWN(-P28/(P29-P28)*12,0)+0.5),0),12))-S29)</f>
        <v>0</v>
      </c>
      <c r="U29" s="109">
        <f>MAX(0,MIN($R29,IF(AND(Q28&gt;0,Q29&lt;0),ROUNDDOWN(-Q28/(Q29-Q28)*12,0)+0.5,IF(AND(Q29&gt;0,MIN(Q$11:Q28)&gt;=0),12,0)))-SUM(S29:T29))</f>
        <v>0</v>
      </c>
      <c r="V29" s="109">
        <f t="shared" si="6"/>
        <v>12</v>
      </c>
      <c r="W29" s="109">
        <f t="shared" si="14"/>
        <v>2052.7282025815912</v>
      </c>
      <c r="X29" s="109">
        <f t="shared" si="15"/>
        <v>49.621507733713756</v>
      </c>
      <c r="Y29" s="109">
        <f t="shared" si="7"/>
        <v>124.05376933428438</v>
      </c>
      <c r="Z29" s="109">
        <f t="shared" si="16"/>
        <v>410.54564051631826</v>
      </c>
      <c r="AA29" s="109">
        <f t="shared" si="8"/>
        <v>718.45487090355687</v>
      </c>
      <c r="AB29" s="109">
        <f t="shared" si="17"/>
        <v>0</v>
      </c>
      <c r="AC29" s="109">
        <f t="shared" si="9"/>
        <v>0</v>
      </c>
      <c r="AD29" s="109">
        <f t="shared" si="9"/>
        <v>0</v>
      </c>
      <c r="AE29" s="109">
        <f t="shared" si="9"/>
        <v>718.45487090355675</v>
      </c>
      <c r="AF29" s="109">
        <f t="shared" si="18"/>
        <v>718.45487090355675</v>
      </c>
      <c r="AG29" s="109">
        <f>IF(A29=Abandonment!$B$4,-W29,0)</f>
        <v>0</v>
      </c>
      <c r="AH29" s="109">
        <f t="shared" si="19"/>
        <v>2052.7282025815912</v>
      </c>
      <c r="AI29" s="109">
        <f>MIN(AH29,MAX(0,$AL$3-SUM(AI30:AI$52)))</f>
        <v>0</v>
      </c>
      <c r="AJ29" s="109">
        <f t="shared" si="22"/>
        <v>718.45487090355675</v>
      </c>
      <c r="AK29" s="109">
        <f t="shared" si="10"/>
        <v>0</v>
      </c>
      <c r="AL29" s="109">
        <f>IF($A29=Abandonment!$B$4,LossRec,0)</f>
        <v>0</v>
      </c>
      <c r="AM29" s="109">
        <f t="shared" si="11"/>
        <v>718.45487090355675</v>
      </c>
      <c r="AN29" s="64"/>
      <c r="AO29" s="64"/>
      <c r="AP29" s="64"/>
      <c r="AQ29" s="184">
        <f t="shared" si="21"/>
        <v>48761</v>
      </c>
      <c r="AR29" s="184">
        <f>IF(AND(O29&lt;0,O28&gt;0,AR28=0),DATE($A29,MAX(12-$R29,0)+SUM($S29:S29)+0.5,1),AR28)</f>
        <v>48853</v>
      </c>
      <c r="AS29" s="184">
        <f>IF(AND(P29&lt;0,P28&gt;0,AS28=0),DATE($A29,MAX(12-$R29,0)+SUM($S29:T29)+0.5,1),AS28)</f>
        <v>49065</v>
      </c>
      <c r="AT29" s="184">
        <f>IF(AND(Q29&lt;0,Q28&gt;0,AT28=0),DATE($A29,MAX(12-$R29,0)+SUM($S29:U29)+0.5,1),AT28)</f>
        <v>49369</v>
      </c>
      <c r="AU29" s="64"/>
      <c r="AV29" s="64"/>
      <c r="AW29" s="64"/>
      <c r="AX29" s="64"/>
      <c r="AY29" s="64"/>
      <c r="AZ29" s="64"/>
      <c r="BA29" s="64"/>
      <c r="BB29" s="64"/>
    </row>
    <row r="30" spans="1:54">
      <c r="A30" s="90">
        <f t="shared" si="20"/>
        <v>2041</v>
      </c>
      <c r="B30" s="109">
        <f>'Success Cash Flow'!E28</f>
        <v>2165.7512918561383</v>
      </c>
      <c r="C30" s="109">
        <f>IF(noteco=Lists!A$85,0,Exploration!AB55)</f>
        <v>0</v>
      </c>
      <c r="D30" s="109">
        <f>Development!BP110</f>
        <v>0</v>
      </c>
      <c r="E30" s="109">
        <f>Operations!S37</f>
        <v>411.18448484735973</v>
      </c>
      <c r="F30" s="109">
        <f>Abandonment!G34</f>
        <v>0</v>
      </c>
      <c r="G30" s="109">
        <f t="shared" si="3"/>
        <v>0</v>
      </c>
      <c r="H30" s="109">
        <f t="shared" si="12"/>
        <v>411.18448484735973</v>
      </c>
      <c r="I30" s="109">
        <f t="shared" si="13"/>
        <v>-25898.807745708571</v>
      </c>
      <c r="J30" s="109">
        <f>IF(A30&lt;Development!$C$6,0,IF(A30=Development!C$6,Development!$D$6,IF(I30&lt;0,IF(I29&gt;0,ROUNDDOWN(-I29/(I30-I29)*12,0),0),12)))</f>
        <v>0</v>
      </c>
      <c r="K30" s="109">
        <f>IF(OR(A30&lt;Development!$C$6,A30&gt;Abandonment!$B$4),0,(J30*I29-(I29-I30)*J30*(J30+1)/24)/12)</f>
        <v>0</v>
      </c>
      <c r="L30" s="109">
        <f>$K30*(L$7+'Selected Economics'!$G29)</f>
        <v>0</v>
      </c>
      <c r="M30" s="109">
        <f>$K30*(M$7+'Selected Economics'!$G29)</f>
        <v>0</v>
      </c>
      <c r="N30" s="109">
        <f>$K30*(N$7+'Selected Economics'!$G29)</f>
        <v>0</v>
      </c>
      <c r="O30" s="109">
        <f t="shared" si="23"/>
        <v>-24809.530523733487</v>
      </c>
      <c r="P30" s="109">
        <f t="shared" si="23"/>
        <v>-22630.976079783333</v>
      </c>
      <c r="Q30" s="109">
        <f t="shared" si="23"/>
        <v>-19000.052006533078</v>
      </c>
      <c r="R30" s="109">
        <f>IF(A30=Production!$B$4,Production!$B$5,IF(A30&lt;Production!$B$4,0,12+R29))</f>
        <v>125</v>
      </c>
      <c r="S30" s="109">
        <f>MIN($R30,IF(O30&lt;0,MAX(IF(Input!$B$36="Yes",MIN(12,24-R29),0),IF(AND(O29&gt;0,O30&lt;0),ROUNDDOWN(-O29/(O30-O29)*12,0)+0.5),0),12))</f>
        <v>0</v>
      </c>
      <c r="T30" s="109">
        <f>MAX(0,MIN($R30,IF(P30&lt;0,MAX(IF(Input!$B$36="Yes",MIN(12,36-SUM(T$11:T29)),0),IF(AND(P29&gt;0,P30&lt;0),ROUNDDOWN(-P29/(P30-P29)*12,0)+0.5),0),12))-S30)</f>
        <v>0</v>
      </c>
      <c r="U30" s="109">
        <f>MAX(0,MIN($R30,IF(AND(Q29&gt;0,Q30&lt;0),ROUNDDOWN(-Q29/(Q30-Q29)*12,0)+0.5,IF(AND(Q30&gt;0,MIN(Q$11:Q29)&gt;=0),12,0)))-SUM(S30:T30))</f>
        <v>0</v>
      </c>
      <c r="V30" s="109">
        <f t="shared" si="6"/>
        <v>12</v>
      </c>
      <c r="W30" s="109">
        <f t="shared" si="14"/>
        <v>1754.5668070087786</v>
      </c>
      <c r="X30" s="109">
        <f t="shared" si="15"/>
        <v>43.315025837122768</v>
      </c>
      <c r="Y30" s="109">
        <f t="shared" si="7"/>
        <v>108.28756459280692</v>
      </c>
      <c r="Z30" s="109">
        <f t="shared" si="16"/>
        <v>350.91336140175576</v>
      </c>
      <c r="AA30" s="109">
        <f t="shared" si="8"/>
        <v>614.09838245307242</v>
      </c>
      <c r="AB30" s="109">
        <f t="shared" si="17"/>
        <v>0</v>
      </c>
      <c r="AC30" s="109">
        <f t="shared" si="9"/>
        <v>0</v>
      </c>
      <c r="AD30" s="109">
        <f t="shared" si="9"/>
        <v>0</v>
      </c>
      <c r="AE30" s="109">
        <f t="shared" si="9"/>
        <v>614.09838245307242</v>
      </c>
      <c r="AF30" s="109">
        <f t="shared" si="18"/>
        <v>614.09838245307242</v>
      </c>
      <c r="AG30" s="109">
        <f>IF(A30=Abandonment!$B$4,-W30,0)</f>
        <v>0</v>
      </c>
      <c r="AH30" s="109">
        <f t="shared" si="19"/>
        <v>1754.5668070087786</v>
      </c>
      <c r="AI30" s="109">
        <f>MIN(AH30,MAX(0,$AL$3-SUM(AI31:AI$52)))</f>
        <v>0</v>
      </c>
      <c r="AJ30" s="109">
        <f t="shared" si="22"/>
        <v>614.09838245307242</v>
      </c>
      <c r="AK30" s="109">
        <f t="shared" si="10"/>
        <v>0</v>
      </c>
      <c r="AL30" s="109">
        <f>IF($A30=Abandonment!$B$4,LossRec,0)</f>
        <v>0</v>
      </c>
      <c r="AM30" s="109">
        <f t="shared" si="11"/>
        <v>614.09838245307242</v>
      </c>
      <c r="AN30" s="64"/>
      <c r="AO30" s="64"/>
      <c r="AP30" s="64"/>
      <c r="AQ30" s="184">
        <f t="shared" si="21"/>
        <v>48761</v>
      </c>
      <c r="AR30" s="184">
        <f>IF(AND(O30&lt;0,O29&gt;0,AR29=0),DATE($A30,MAX(12-$R30,0)+SUM($S30:S30)+0.5,1),AR29)</f>
        <v>48853</v>
      </c>
      <c r="AS30" s="184">
        <f>IF(AND(P30&lt;0,P29&gt;0,AS29=0),DATE($A30,MAX(12-$R30,0)+SUM($S30:T30)+0.5,1),AS29)</f>
        <v>49065</v>
      </c>
      <c r="AT30" s="184">
        <f>IF(AND(Q30&lt;0,Q29&gt;0,AT29=0),DATE($A30,MAX(12-$R30,0)+SUM($S30:U30)+0.5,1),AT29)</f>
        <v>49369</v>
      </c>
      <c r="AU30" s="64"/>
      <c r="AV30" s="64"/>
      <c r="AW30" s="64"/>
      <c r="AX30" s="64"/>
      <c r="AY30" s="64"/>
      <c r="AZ30" s="64"/>
      <c r="BA30" s="64"/>
      <c r="BB30" s="64"/>
    </row>
    <row r="31" spans="1:54">
      <c r="A31" s="90">
        <f t="shared" si="20"/>
        <v>2042</v>
      </c>
      <c r="B31" s="109">
        <f>'Success Cash Flow'!E29</f>
        <v>1896.1152560200517</v>
      </c>
      <c r="C31" s="109">
        <f>IF(noteco=Lists!A$85,0,Exploration!AB56)</f>
        <v>0</v>
      </c>
      <c r="D31" s="109">
        <f>Development!BP111</f>
        <v>0</v>
      </c>
      <c r="E31" s="109">
        <f>Operations!S38</f>
        <v>397.47869091478987</v>
      </c>
      <c r="F31" s="109">
        <f>Abandonment!G35</f>
        <v>0</v>
      </c>
      <c r="G31" s="109">
        <f t="shared" si="3"/>
        <v>0</v>
      </c>
      <c r="H31" s="109">
        <f t="shared" si="12"/>
        <v>397.47869091478987</v>
      </c>
      <c r="I31" s="109">
        <f t="shared" si="13"/>
        <v>-27397.444310813829</v>
      </c>
      <c r="J31" s="109">
        <f>IF(A31&lt;Development!$C$6,0,IF(A31=Development!C$6,Development!$D$6,IF(I31&lt;0,IF(I30&gt;0,ROUNDDOWN(-I30/(I31-I30)*12,0),0),12)))</f>
        <v>0</v>
      </c>
      <c r="K31" s="109">
        <f>IF(OR(A31&lt;Development!$C$6,A31&gt;Abandonment!$B$4),0,(J31*I30-(I30-I31)*J31*(J31+1)/24)/12)</f>
        <v>0</v>
      </c>
      <c r="L31" s="109">
        <f>$K31*(L$7+'Selected Economics'!$G30)</f>
        <v>0</v>
      </c>
      <c r="M31" s="109">
        <f>$K31*(M$7+'Selected Economics'!$G30)</f>
        <v>0</v>
      </c>
      <c r="N31" s="109">
        <f>$K31*(N$7+'Selected Economics'!$G30)</f>
        <v>0</v>
      </c>
      <c r="O31" s="109">
        <f t="shared" si="23"/>
        <v>-26308.167088838749</v>
      </c>
      <c r="P31" s="109">
        <f t="shared" si="23"/>
        <v>-24129.612644888595</v>
      </c>
      <c r="Q31" s="109">
        <f t="shared" si="23"/>
        <v>-20498.68857163834</v>
      </c>
      <c r="R31" s="109">
        <f>IF(A31=Production!$B$4,Production!$B$5,IF(A31&lt;Production!$B$4,0,12+R30))</f>
        <v>137</v>
      </c>
      <c r="S31" s="109">
        <f>MIN($R31,IF(O31&lt;0,MAX(IF(Input!$B$36="Yes",MIN(12,24-R30),0),IF(AND(O30&gt;0,O31&lt;0),ROUNDDOWN(-O30/(O31-O30)*12,0)+0.5),0),12))</f>
        <v>0</v>
      </c>
      <c r="T31" s="109">
        <f>MAX(0,MIN($R31,IF(P31&lt;0,MAX(IF(Input!$B$36="Yes",MIN(12,36-SUM(T$11:T30)),0),IF(AND(P30&gt;0,P31&lt;0),ROUNDDOWN(-P30/(P31-P30)*12,0)+0.5),0),12))-S31)</f>
        <v>0</v>
      </c>
      <c r="U31" s="109">
        <f>MAX(0,MIN($R31,IF(AND(Q30&gt;0,Q31&lt;0),ROUNDDOWN(-Q30/(Q31-Q30)*12,0)+0.5,IF(AND(Q31&gt;0,MIN(Q$11:Q30)&gt;=0),12,0)))-SUM(S31:T31))</f>
        <v>0</v>
      </c>
      <c r="V31" s="109">
        <f t="shared" si="6"/>
        <v>12</v>
      </c>
      <c r="W31" s="109">
        <f t="shared" si="14"/>
        <v>1498.6365651052618</v>
      </c>
      <c r="X31" s="109">
        <f t="shared" si="15"/>
        <v>37.922305120401035</v>
      </c>
      <c r="Y31" s="109">
        <f t="shared" si="7"/>
        <v>94.805762801002587</v>
      </c>
      <c r="Z31" s="109">
        <f t="shared" si="16"/>
        <v>299.72731302105234</v>
      </c>
      <c r="AA31" s="109">
        <f t="shared" si="8"/>
        <v>524.52279778684158</v>
      </c>
      <c r="AB31" s="109">
        <f t="shared" si="17"/>
        <v>0</v>
      </c>
      <c r="AC31" s="109">
        <f t="shared" si="9"/>
        <v>0</v>
      </c>
      <c r="AD31" s="109">
        <f t="shared" si="9"/>
        <v>0</v>
      </c>
      <c r="AE31" s="109">
        <f t="shared" si="9"/>
        <v>524.52279778684158</v>
      </c>
      <c r="AF31" s="109">
        <f t="shared" si="18"/>
        <v>524.52279778684158</v>
      </c>
      <c r="AG31" s="109">
        <f>IF(A31=Abandonment!$B$4,-W31,0)</f>
        <v>0</v>
      </c>
      <c r="AH31" s="109">
        <f t="shared" si="19"/>
        <v>1498.6365651052618</v>
      </c>
      <c r="AI31" s="109">
        <f>MIN(AH31,MAX(0,$AL$3-SUM(AI32:AI$52)))</f>
        <v>0</v>
      </c>
      <c r="AJ31" s="109">
        <f t="shared" si="22"/>
        <v>524.52279778684158</v>
      </c>
      <c r="AK31" s="109">
        <f t="shared" si="10"/>
        <v>0</v>
      </c>
      <c r="AL31" s="109">
        <f>IF($A31=Abandonment!$B$4,LossRec,0)</f>
        <v>0</v>
      </c>
      <c r="AM31" s="109">
        <f t="shared" si="11"/>
        <v>524.52279778684158</v>
      </c>
      <c r="AN31" s="64"/>
      <c r="AO31" s="64"/>
      <c r="AP31" s="64"/>
      <c r="AQ31" s="184">
        <f t="shared" si="21"/>
        <v>48761</v>
      </c>
      <c r="AR31" s="184">
        <f>IF(AND(O31&lt;0,O30&gt;0,AR30=0),DATE($A31,MAX(12-$R31,0)+SUM($S31:S31)+0.5,1),AR30)</f>
        <v>48853</v>
      </c>
      <c r="AS31" s="184">
        <f>IF(AND(P31&lt;0,P30&gt;0,AS30=0),DATE($A31,MAX(12-$R31,0)+SUM($S31:T31)+0.5,1),AS30)</f>
        <v>49065</v>
      </c>
      <c r="AT31" s="184">
        <f>IF(AND(Q31&lt;0,Q30&gt;0,AT30=0),DATE($A31,MAX(12-$R31,0)+SUM($S31:U31)+0.5,1),AT30)</f>
        <v>49369</v>
      </c>
      <c r="AU31" s="64"/>
      <c r="AV31" s="64"/>
      <c r="AW31" s="64"/>
      <c r="AX31" s="64"/>
      <c r="AY31" s="64"/>
      <c r="AZ31" s="64"/>
      <c r="BA31" s="64"/>
      <c r="BB31" s="64"/>
    </row>
    <row r="32" spans="1:54">
      <c r="A32" s="90">
        <f t="shared" si="20"/>
        <v>2043</v>
      </c>
      <c r="B32" s="109">
        <f>'Success Cash Flow'!E30</f>
        <v>1660.0489066455534</v>
      </c>
      <c r="C32" s="109">
        <f>IF(noteco=Lists!A$85,0,Exploration!AB57)</f>
        <v>0</v>
      </c>
      <c r="D32" s="109">
        <f>Development!BP112</f>
        <v>0</v>
      </c>
      <c r="E32" s="109">
        <f>Operations!S39</f>
        <v>386.60386855975224</v>
      </c>
      <c r="F32" s="109">
        <f>Abandonment!G36</f>
        <v>0</v>
      </c>
      <c r="G32" s="109">
        <f t="shared" si="3"/>
        <v>0</v>
      </c>
      <c r="H32" s="109">
        <f t="shared" si="12"/>
        <v>386.60386855975224</v>
      </c>
      <c r="I32" s="109">
        <f t="shared" si="13"/>
        <v>-28670.889348899629</v>
      </c>
      <c r="J32" s="109">
        <f>IF(A32&lt;Development!$C$6,0,IF(A32=Development!C$6,Development!$D$6,IF(I32&lt;0,IF(I31&gt;0,ROUNDDOWN(-I31/(I32-I31)*12,0),0),12)))</f>
        <v>0</v>
      </c>
      <c r="K32" s="109">
        <f>IF(OR(A32&lt;Development!$C$6,A32&gt;Abandonment!$B$4),0,(J32*I31-(I31-I32)*J32*(J32+1)/24)/12)</f>
        <v>0</v>
      </c>
      <c r="L32" s="109">
        <f>$K32*(L$7+'Selected Economics'!$G31)</f>
        <v>0</v>
      </c>
      <c r="M32" s="109">
        <f>$K32*(M$7+'Selected Economics'!$G31)</f>
        <v>0</v>
      </c>
      <c r="N32" s="109">
        <f>$K32*(N$7+'Selected Economics'!$G31)</f>
        <v>0</v>
      </c>
      <c r="O32" s="109">
        <f t="shared" si="23"/>
        <v>-27581.612126924549</v>
      </c>
      <c r="P32" s="109">
        <f t="shared" si="23"/>
        <v>-25403.057682974395</v>
      </c>
      <c r="Q32" s="109">
        <f t="shared" si="23"/>
        <v>-21772.13360972414</v>
      </c>
      <c r="R32" s="109">
        <f>IF(A32=Production!$B$4,Production!$B$5,IF(A32&lt;Production!$B$4,0,12+R31))</f>
        <v>149</v>
      </c>
      <c r="S32" s="109">
        <f>MIN($R32,IF(O32&lt;0,MAX(IF(Input!$B$36="Yes",MIN(12,24-R31),0),IF(AND(O31&gt;0,O32&lt;0),ROUNDDOWN(-O31/(O32-O31)*12,0)+0.5),0),12))</f>
        <v>0</v>
      </c>
      <c r="T32" s="109">
        <f>MAX(0,MIN($R32,IF(P32&lt;0,MAX(IF(Input!$B$36="Yes",MIN(12,36-SUM(T$11:T31)),0),IF(AND(P31&gt;0,P32&lt;0),ROUNDDOWN(-P31/(P32-P31)*12,0)+0.5),0),12))-S32)</f>
        <v>0</v>
      </c>
      <c r="U32" s="109">
        <f>MAX(0,MIN($R32,IF(AND(Q31&gt;0,Q32&lt;0),ROUNDDOWN(-Q31/(Q32-Q31)*12,0)+0.5,IF(AND(Q32&gt;0,MIN(Q$11:Q31)&gt;=0),12,0)))-SUM(S32:T32))</f>
        <v>0</v>
      </c>
      <c r="V32" s="109">
        <f t="shared" si="6"/>
        <v>12</v>
      </c>
      <c r="W32" s="109">
        <f t="shared" si="14"/>
        <v>1273.4450380858011</v>
      </c>
      <c r="X32" s="109">
        <f t="shared" si="15"/>
        <v>33.200978132911068</v>
      </c>
      <c r="Y32" s="109">
        <f t="shared" si="7"/>
        <v>83.002445332277674</v>
      </c>
      <c r="Z32" s="109">
        <f t="shared" si="16"/>
        <v>254.68900761716023</v>
      </c>
      <c r="AA32" s="109">
        <f t="shared" si="8"/>
        <v>445.70576333003038</v>
      </c>
      <c r="AB32" s="109">
        <f t="shared" si="17"/>
        <v>0</v>
      </c>
      <c r="AC32" s="109">
        <f t="shared" si="9"/>
        <v>0</v>
      </c>
      <c r="AD32" s="109">
        <f t="shared" si="9"/>
        <v>0</v>
      </c>
      <c r="AE32" s="109">
        <f t="shared" si="9"/>
        <v>445.70576333003038</v>
      </c>
      <c r="AF32" s="109">
        <f t="shared" si="18"/>
        <v>445.70576333003038</v>
      </c>
      <c r="AG32" s="109">
        <f>IF(A32=Abandonment!$B$4,-W32,0)</f>
        <v>0</v>
      </c>
      <c r="AH32" s="109">
        <f t="shared" si="19"/>
        <v>1273.4450380858011</v>
      </c>
      <c r="AI32" s="109">
        <f>MIN(AH32,MAX(0,$AL$3-SUM(AI33:AI$52)))</f>
        <v>0</v>
      </c>
      <c r="AJ32" s="109">
        <f t="shared" si="22"/>
        <v>445.70576333003038</v>
      </c>
      <c r="AK32" s="109">
        <f t="shared" si="10"/>
        <v>0</v>
      </c>
      <c r="AL32" s="109">
        <f>IF($A32=Abandonment!$B$4,LossRec,0)</f>
        <v>0</v>
      </c>
      <c r="AM32" s="109">
        <f t="shared" si="11"/>
        <v>445.70576333003038</v>
      </c>
      <c r="AN32" s="64"/>
      <c r="AO32" s="64"/>
      <c r="AP32" s="64"/>
      <c r="AQ32" s="184">
        <f t="shared" si="21"/>
        <v>48761</v>
      </c>
      <c r="AR32" s="184">
        <f>IF(AND(O32&lt;0,O31&gt;0,AR31=0),DATE($A32,MAX(12-$R32,0)+SUM($S32:S32)+0.5,1),AR31)</f>
        <v>48853</v>
      </c>
      <c r="AS32" s="184">
        <f>IF(AND(P32&lt;0,P31&gt;0,AS31=0),DATE($A32,MAX(12-$R32,0)+SUM($S32:T32)+0.5,1),AS31)</f>
        <v>49065</v>
      </c>
      <c r="AT32" s="184">
        <f>IF(AND(Q32&lt;0,Q31&gt;0,AT31=0),DATE($A32,MAX(12-$R32,0)+SUM($S32:U32)+0.5,1),AT31)</f>
        <v>49369</v>
      </c>
      <c r="AU32" s="64"/>
      <c r="AV32" s="64"/>
      <c r="AW32" s="64"/>
      <c r="AX32" s="64"/>
      <c r="AY32" s="64"/>
      <c r="AZ32" s="64"/>
      <c r="BA32" s="64"/>
      <c r="BB32" s="64"/>
    </row>
    <row r="33" spans="1:54">
      <c r="A33" s="90">
        <f t="shared" si="20"/>
        <v>2044</v>
      </c>
      <c r="B33" s="109">
        <f>'Success Cash Flow'!E31</f>
        <v>1457.0390426940562</v>
      </c>
      <c r="C33" s="109">
        <f>IF(noteco=Lists!A$85,0,Exploration!AB58)</f>
        <v>0</v>
      </c>
      <c r="D33" s="109">
        <f>Development!BP113</f>
        <v>0</v>
      </c>
      <c r="E33" s="109">
        <f>Operations!S40</f>
        <v>378.34408797674826</v>
      </c>
      <c r="F33" s="109">
        <f>Abandonment!G37</f>
        <v>0</v>
      </c>
      <c r="G33" s="109">
        <f t="shared" si="3"/>
        <v>0</v>
      </c>
      <c r="H33" s="109">
        <f t="shared" si="12"/>
        <v>378.34408797674826</v>
      </c>
      <c r="I33" s="109">
        <f t="shared" si="13"/>
        <v>-29749.584303616939</v>
      </c>
      <c r="J33" s="109">
        <f>IF(A33&lt;Development!$C$6,0,IF(A33=Development!C$6,Development!$D$6,IF(I33&lt;0,IF(I32&gt;0,ROUNDDOWN(-I32/(I33-I32)*12,0),0),12)))</f>
        <v>0</v>
      </c>
      <c r="K33" s="109">
        <f>IF(OR(A33&lt;Development!$C$6,A33&gt;Abandonment!$B$4),0,(J33*I32-(I32-I33)*J33*(J33+1)/24)/12)</f>
        <v>0</v>
      </c>
      <c r="L33" s="109">
        <f>$K33*(L$7+'Selected Economics'!$G32)</f>
        <v>0</v>
      </c>
      <c r="M33" s="109">
        <f>$K33*(M$7+'Selected Economics'!$G32)</f>
        <v>0</v>
      </c>
      <c r="N33" s="109">
        <f>$K33*(N$7+'Selected Economics'!$G32)</f>
        <v>0</v>
      </c>
      <c r="O33" s="109">
        <f t="shared" si="23"/>
        <v>-28660.307081641855</v>
      </c>
      <c r="P33" s="109">
        <f t="shared" si="23"/>
        <v>-26481.752637691701</v>
      </c>
      <c r="Q33" s="109">
        <f t="shared" si="23"/>
        <v>-22850.82856444145</v>
      </c>
      <c r="R33" s="109">
        <f>IF(A33=Production!$B$4,Production!$B$5,IF(A33&lt;Production!$B$4,0,12+R32))</f>
        <v>161</v>
      </c>
      <c r="S33" s="109">
        <f>MIN($R33,IF(O33&lt;0,MAX(IF(Input!$B$36="Yes",MIN(12,24-R32),0),IF(AND(O32&gt;0,O33&lt;0),ROUNDDOWN(-O32/(O33-O32)*12,0)+0.5),0),12))</f>
        <v>0</v>
      </c>
      <c r="T33" s="109">
        <f>MAX(0,MIN($R33,IF(P33&lt;0,MAX(IF(Input!$B$36="Yes",MIN(12,36-SUM(T$11:T32)),0),IF(AND(P32&gt;0,P33&lt;0),ROUNDDOWN(-P32/(P33-P32)*12,0)+0.5),0),12))-S33)</f>
        <v>0</v>
      </c>
      <c r="U33" s="109">
        <f>MAX(0,MIN($R33,IF(AND(Q32&gt;0,Q33&lt;0),ROUNDDOWN(-Q32/(Q33-Q32)*12,0)+0.5,IF(AND(Q33&gt;0,MIN(Q$11:Q32)&gt;=0),12,0)))-SUM(S33:T33))</f>
        <v>0</v>
      </c>
      <c r="V33" s="109">
        <f t="shared" si="6"/>
        <v>12</v>
      </c>
      <c r="W33" s="109">
        <f t="shared" si="14"/>
        <v>1078.6949547173081</v>
      </c>
      <c r="X33" s="109">
        <f t="shared" si="15"/>
        <v>29.140780853881125</v>
      </c>
      <c r="Y33" s="109">
        <f t="shared" si="7"/>
        <v>72.851952134702813</v>
      </c>
      <c r="Z33" s="109">
        <f t="shared" si="16"/>
        <v>215.73899094346163</v>
      </c>
      <c r="AA33" s="109">
        <f t="shared" si="8"/>
        <v>377.54323415105779</v>
      </c>
      <c r="AB33" s="109">
        <f t="shared" si="17"/>
        <v>0</v>
      </c>
      <c r="AC33" s="109">
        <f t="shared" si="9"/>
        <v>0</v>
      </c>
      <c r="AD33" s="109">
        <f t="shared" si="9"/>
        <v>0</v>
      </c>
      <c r="AE33" s="109">
        <f t="shared" si="9"/>
        <v>377.54323415105779</v>
      </c>
      <c r="AF33" s="109">
        <f t="shared" si="18"/>
        <v>377.54323415105779</v>
      </c>
      <c r="AG33" s="109">
        <f>IF(A33=Abandonment!$B$4,-W33,0)</f>
        <v>0</v>
      </c>
      <c r="AH33" s="109">
        <f t="shared" si="19"/>
        <v>1078.6949547173081</v>
      </c>
      <c r="AI33" s="109">
        <f>MIN(AH33,MAX(0,$AL$3-SUM(AI34:AI$52)))</f>
        <v>0</v>
      </c>
      <c r="AJ33" s="109">
        <f t="shared" si="22"/>
        <v>377.54323415105779</v>
      </c>
      <c r="AK33" s="109">
        <f t="shared" si="10"/>
        <v>0</v>
      </c>
      <c r="AL33" s="109">
        <f>IF($A33=Abandonment!$B$4,LossRec,0)</f>
        <v>0</v>
      </c>
      <c r="AM33" s="109">
        <f t="shared" si="11"/>
        <v>377.54323415105779</v>
      </c>
      <c r="AN33" s="64"/>
      <c r="AO33" s="64"/>
      <c r="AP33" s="64"/>
      <c r="AQ33" s="184">
        <f t="shared" si="21"/>
        <v>48761</v>
      </c>
      <c r="AR33" s="184">
        <f>IF(AND(O33&lt;0,O32&gt;0,AR32=0),DATE($A33,MAX(12-$R33,0)+SUM($S33:S33)+0.5,1),AR32)</f>
        <v>48853</v>
      </c>
      <c r="AS33" s="184">
        <f>IF(AND(P33&lt;0,P32&gt;0,AS32=0),DATE($A33,MAX(12-$R33,0)+SUM($S33:T33)+0.5,1),AS32)</f>
        <v>49065</v>
      </c>
      <c r="AT33" s="184">
        <f>IF(AND(Q33&lt;0,Q32&gt;0,AT32=0),DATE($A33,MAX(12-$R33,0)+SUM($S33:U33)+0.5,1),AT32)</f>
        <v>49369</v>
      </c>
      <c r="AU33" s="64"/>
      <c r="AV33" s="64"/>
      <c r="AW33" s="64"/>
      <c r="AX33" s="64"/>
      <c r="AY33" s="64"/>
      <c r="AZ33" s="64"/>
      <c r="BA33" s="64"/>
      <c r="BB33" s="64"/>
    </row>
    <row r="34" spans="1:54">
      <c r="A34" s="90">
        <f t="shared" si="20"/>
        <v>2045</v>
      </c>
      <c r="B34" s="109">
        <f>'Success Cash Flow'!E32</f>
        <v>1271.8614702049981</v>
      </c>
      <c r="C34" s="109">
        <f>IF(noteco=Lists!A$85,0,Exploration!AB59)</f>
        <v>0</v>
      </c>
      <c r="D34" s="109">
        <f>Development!BP114</f>
        <v>0</v>
      </c>
      <c r="E34" s="109">
        <f>Operations!S41</f>
        <v>372.06887603464111</v>
      </c>
      <c r="F34" s="109">
        <f>Abandonment!G38</f>
        <v>0</v>
      </c>
      <c r="G34" s="109">
        <f t="shared" si="3"/>
        <v>0</v>
      </c>
      <c r="H34" s="109">
        <f t="shared" si="12"/>
        <v>372.06887603464111</v>
      </c>
      <c r="I34" s="109">
        <f t="shared" si="13"/>
        <v>-30649.376897787297</v>
      </c>
      <c r="J34" s="109">
        <f>IF(A34&lt;Development!$C$6,0,IF(A34=Development!C$6,Development!$D$6,IF(I34&lt;0,IF(I33&gt;0,ROUNDDOWN(-I33/(I34-I33)*12,0),0),12)))</f>
        <v>0</v>
      </c>
      <c r="K34" s="109">
        <f>IF(OR(A34&lt;Development!$C$6,A34&gt;Abandonment!$B$4),0,(J34*I33-(I33-I34)*J34*(J34+1)/24)/12)</f>
        <v>0</v>
      </c>
      <c r="L34" s="109">
        <f>$K34*(L$7+'Selected Economics'!$G33)</f>
        <v>0</v>
      </c>
      <c r="M34" s="109">
        <f>$K34*(M$7+'Selected Economics'!$G33)</f>
        <v>0</v>
      </c>
      <c r="N34" s="109">
        <f>$K34*(N$7+'Selected Economics'!$G33)</f>
        <v>0</v>
      </c>
      <c r="O34" s="109">
        <f t="shared" si="23"/>
        <v>-29560.099675812213</v>
      </c>
      <c r="P34" s="109">
        <f t="shared" si="23"/>
        <v>-27381.545231862059</v>
      </c>
      <c r="Q34" s="109">
        <f t="shared" si="23"/>
        <v>-23750.621158611808</v>
      </c>
      <c r="R34" s="109">
        <f>IF(A34=Production!$B$4,Production!$B$5,IF(A34&lt;Production!$B$4,0,12+R33))</f>
        <v>173</v>
      </c>
      <c r="S34" s="109">
        <f>MIN($R34,IF(O34&lt;0,MAX(IF(Input!$B$36="Yes",MIN(12,24-R33),0),IF(AND(O33&gt;0,O34&lt;0),ROUNDDOWN(-O33/(O34-O33)*12,0)+0.5),0),12))</f>
        <v>0</v>
      </c>
      <c r="T34" s="109">
        <f>MAX(0,MIN($R34,IF(P34&lt;0,MAX(IF(Input!$B$36="Yes",MIN(12,36-SUM(T$11:T33)),0),IF(AND(P33&gt;0,P34&lt;0),ROUNDDOWN(-P33/(P34-P33)*12,0)+0.5),0),12))-S34)</f>
        <v>0</v>
      </c>
      <c r="U34" s="109">
        <f>MAX(0,MIN($R34,IF(AND(Q33&gt;0,Q34&lt;0),ROUNDDOWN(-Q33/(Q34-Q33)*12,0)+0.5,IF(AND(Q34&gt;0,MIN(Q$11:Q33)&gt;=0),12,0)))-SUM(S34:T34))</f>
        <v>0</v>
      </c>
      <c r="V34" s="109">
        <f t="shared" si="6"/>
        <v>12</v>
      </c>
      <c r="W34" s="109">
        <f t="shared" si="14"/>
        <v>899.79259417035701</v>
      </c>
      <c r="X34" s="109">
        <f t="shared" si="15"/>
        <v>25.437229404099963</v>
      </c>
      <c r="Y34" s="109">
        <f t="shared" si="7"/>
        <v>63.593073510249909</v>
      </c>
      <c r="Z34" s="109">
        <f t="shared" si="16"/>
        <v>179.95851883407141</v>
      </c>
      <c r="AA34" s="109">
        <f t="shared" si="8"/>
        <v>314.92740795962493</v>
      </c>
      <c r="AB34" s="109">
        <f t="shared" si="17"/>
        <v>0</v>
      </c>
      <c r="AC34" s="109">
        <f t="shared" si="9"/>
        <v>0</v>
      </c>
      <c r="AD34" s="109">
        <f t="shared" si="9"/>
        <v>0</v>
      </c>
      <c r="AE34" s="109">
        <f t="shared" si="9"/>
        <v>314.92740795962493</v>
      </c>
      <c r="AF34" s="109">
        <f t="shared" si="18"/>
        <v>314.92740795962493</v>
      </c>
      <c r="AG34" s="109">
        <f>IF(A34=Abandonment!$B$4,-W34,0)</f>
        <v>0</v>
      </c>
      <c r="AH34" s="109">
        <f t="shared" si="19"/>
        <v>899.79259417035701</v>
      </c>
      <c r="AI34" s="109">
        <f>MIN(AH34,MAX(0,$AL$3-SUM(AI35:AI$52)))</f>
        <v>0</v>
      </c>
      <c r="AJ34" s="109">
        <f t="shared" si="22"/>
        <v>314.92740795962493</v>
      </c>
      <c r="AK34" s="109">
        <f t="shared" si="10"/>
        <v>0</v>
      </c>
      <c r="AL34" s="109">
        <f>IF($A34=Abandonment!$B$4,LossRec,0)</f>
        <v>0</v>
      </c>
      <c r="AM34" s="109">
        <f t="shared" si="11"/>
        <v>314.92740795962493</v>
      </c>
      <c r="AN34" s="64"/>
      <c r="AO34" s="64"/>
      <c r="AP34" s="64"/>
      <c r="AQ34" s="184">
        <f t="shared" si="21"/>
        <v>48761</v>
      </c>
      <c r="AR34" s="184">
        <f>IF(AND(O34&lt;0,O33&gt;0,AR33=0),DATE($A34,MAX(12-$R34,0)+SUM($S34:S34)+0.5,1),AR33)</f>
        <v>48853</v>
      </c>
      <c r="AS34" s="184">
        <f>IF(AND(P34&lt;0,P33&gt;0,AS33=0),DATE($A34,MAX(12-$R34,0)+SUM($S34:T34)+0.5,1),AS33)</f>
        <v>49065</v>
      </c>
      <c r="AT34" s="184">
        <f>IF(AND(Q34&lt;0,Q33&gt;0,AT33=0),DATE($A34,MAX(12-$R34,0)+SUM($S34:U34)+0.5,1),AT33)</f>
        <v>49369</v>
      </c>
      <c r="AU34" s="64"/>
      <c r="AV34" s="64"/>
      <c r="AW34" s="64"/>
      <c r="AX34" s="64"/>
      <c r="AY34" s="64"/>
      <c r="AZ34" s="64"/>
      <c r="BA34" s="64"/>
      <c r="BB34" s="64"/>
    </row>
    <row r="35" spans="1:54">
      <c r="A35" s="90">
        <f t="shared" si="20"/>
        <v>2046</v>
      </c>
      <c r="B35" s="109">
        <f>'Success Cash Flow'!E33</f>
        <v>1113.5147171644735</v>
      </c>
      <c r="C35" s="109">
        <f>IF(noteco=Lists!A$85,0,Exploration!AB60)</f>
        <v>0</v>
      </c>
      <c r="D35" s="109">
        <f>Development!BP115</f>
        <v>0</v>
      </c>
      <c r="E35" s="109">
        <f>Operations!S42</f>
        <v>367.93788329793722</v>
      </c>
      <c r="F35" s="109">
        <f>Abandonment!G39</f>
        <v>0</v>
      </c>
      <c r="G35" s="109">
        <f t="shared" si="3"/>
        <v>0</v>
      </c>
      <c r="H35" s="109">
        <f t="shared" si="12"/>
        <v>367.93788329793722</v>
      </c>
      <c r="I35" s="109">
        <f t="shared" si="13"/>
        <v>-31394.953731653834</v>
      </c>
      <c r="J35" s="109">
        <f>IF(A35&lt;Development!$C$6,0,IF(A35=Development!C$6,Development!$D$6,IF(I35&lt;0,IF(I34&gt;0,ROUNDDOWN(-I34/(I35-I34)*12,0),0),12)))</f>
        <v>0</v>
      </c>
      <c r="K35" s="109">
        <f>IF(OR(A35&lt;Development!$C$6,A35&gt;Abandonment!$B$4),0,(J35*I34-(I34-I35)*J35*(J35+1)/24)/12)</f>
        <v>0</v>
      </c>
      <c r="L35" s="109">
        <f>$K35*(L$7+'Selected Economics'!$G34)</f>
        <v>0</v>
      </c>
      <c r="M35" s="109">
        <f>$K35*(M$7+'Selected Economics'!$G34)</f>
        <v>0</v>
      </c>
      <c r="N35" s="109">
        <f>$K35*(N$7+'Selected Economics'!$G34)</f>
        <v>0</v>
      </c>
      <c r="O35" s="109">
        <f t="shared" si="23"/>
        <v>-30305.676509678749</v>
      </c>
      <c r="P35" s="109">
        <f t="shared" si="23"/>
        <v>-28127.122065728596</v>
      </c>
      <c r="Q35" s="109">
        <f t="shared" si="23"/>
        <v>-24496.197992478345</v>
      </c>
      <c r="R35" s="109">
        <f>IF(A35=Production!$B$4,Production!$B$5,IF(A35&lt;Production!$B$4,0,12+R34))</f>
        <v>185</v>
      </c>
      <c r="S35" s="109">
        <f>MIN($R35,IF(O35&lt;0,MAX(IF(Input!$B$36="Yes",MIN(12,24-R34),0),IF(AND(O34&gt;0,O35&lt;0),ROUNDDOWN(-O34/(O35-O34)*12,0)+0.5),0),12))</f>
        <v>0</v>
      </c>
      <c r="T35" s="109">
        <f>MAX(0,MIN($R35,IF(P35&lt;0,MAX(IF(Input!$B$36="Yes",MIN(12,36-SUM(T$11:T34)),0),IF(AND(P34&gt;0,P35&lt;0),ROUNDDOWN(-P34/(P35-P34)*12,0)+0.5),0),12))-S35)</f>
        <v>0</v>
      </c>
      <c r="U35" s="109">
        <f>MAX(0,MIN($R35,IF(AND(Q34&gt;0,Q35&lt;0),ROUNDDOWN(-Q34/(Q35-Q34)*12,0)+0.5,IF(AND(Q35&gt;0,MIN(Q$11:Q34)&gt;=0),12,0)))-SUM(S35:T35))</f>
        <v>0</v>
      </c>
      <c r="V35" s="109">
        <f t="shared" si="6"/>
        <v>12</v>
      </c>
      <c r="W35" s="109">
        <f t="shared" si="14"/>
        <v>745.57683386653628</v>
      </c>
      <c r="X35" s="109">
        <f t="shared" si="15"/>
        <v>22.270294343289471</v>
      </c>
      <c r="Y35" s="109">
        <f t="shared" si="7"/>
        <v>55.675735858223675</v>
      </c>
      <c r="Z35" s="109">
        <f t="shared" si="16"/>
        <v>149.11536677330727</v>
      </c>
      <c r="AA35" s="109">
        <f t="shared" si="8"/>
        <v>260.95189185328769</v>
      </c>
      <c r="AB35" s="109">
        <f t="shared" si="17"/>
        <v>0</v>
      </c>
      <c r="AC35" s="109">
        <f t="shared" si="9"/>
        <v>0</v>
      </c>
      <c r="AD35" s="109">
        <f t="shared" si="9"/>
        <v>0</v>
      </c>
      <c r="AE35" s="109">
        <f t="shared" si="9"/>
        <v>260.95189185328769</v>
      </c>
      <c r="AF35" s="109">
        <f t="shared" si="18"/>
        <v>260.95189185328769</v>
      </c>
      <c r="AG35" s="109">
        <f>IF(A35=Abandonment!$B$4,-W35,0)</f>
        <v>0</v>
      </c>
      <c r="AH35" s="109">
        <f t="shared" si="19"/>
        <v>745.57683386653628</v>
      </c>
      <c r="AI35" s="109">
        <f>MIN(AH35,MAX(0,$AL$3-SUM(AI36:AI$52)))</f>
        <v>0</v>
      </c>
      <c r="AJ35" s="109">
        <f t="shared" si="22"/>
        <v>260.95189185328769</v>
      </c>
      <c r="AK35" s="109">
        <f t="shared" si="10"/>
        <v>0</v>
      </c>
      <c r="AL35" s="109">
        <f>IF($A35=Abandonment!$B$4,LossRec,0)</f>
        <v>0</v>
      </c>
      <c r="AM35" s="109">
        <f t="shared" si="11"/>
        <v>260.95189185328769</v>
      </c>
      <c r="AN35" s="64"/>
      <c r="AO35" s="64"/>
      <c r="AP35" s="64"/>
      <c r="AQ35" s="184">
        <f t="shared" si="21"/>
        <v>48761</v>
      </c>
      <c r="AR35" s="184">
        <f>IF(AND(O35&lt;0,O34&gt;0,AR34=0),DATE($A35,MAX(12-$R35,0)+SUM($S35:S35)+0.5,1),AR34)</f>
        <v>48853</v>
      </c>
      <c r="AS35" s="184">
        <f>IF(AND(P35&lt;0,P34&gt;0,AS34=0),DATE($A35,MAX(12-$R35,0)+SUM($S35:T35)+0.5,1),AS34)</f>
        <v>49065</v>
      </c>
      <c r="AT35" s="184">
        <f>IF(AND(Q35&lt;0,Q34&gt;0,AT34=0),DATE($A35,MAX(12-$R35,0)+SUM($S35:U35)+0.5,1),AT34)</f>
        <v>49369</v>
      </c>
      <c r="AU35" s="64"/>
      <c r="AV35" s="64"/>
      <c r="AW35" s="64"/>
      <c r="AX35" s="64"/>
      <c r="AY35" s="64"/>
      <c r="AZ35" s="64"/>
      <c r="BA35" s="64"/>
      <c r="BB35" s="64"/>
    </row>
    <row r="36" spans="1:54">
      <c r="A36" s="90">
        <f t="shared" si="20"/>
        <v>2047</v>
      </c>
      <c r="B36" s="109">
        <f>'Success Cash Flow'!E34</f>
        <v>974.88213487749533</v>
      </c>
      <c r="C36" s="109">
        <f>IF(noteco=Lists!A$85,0,Exploration!AB61)</f>
        <v>0</v>
      </c>
      <c r="D36" s="109">
        <f>Development!BP116</f>
        <v>0</v>
      </c>
      <c r="E36" s="109">
        <f>Operations!S43</f>
        <v>365.58694662684138</v>
      </c>
      <c r="F36" s="109">
        <f>Abandonment!G40</f>
        <v>0</v>
      </c>
      <c r="G36" s="109">
        <f t="shared" si="3"/>
        <v>0</v>
      </c>
      <c r="H36" s="109">
        <f t="shared" si="12"/>
        <v>365.58694662684138</v>
      </c>
      <c r="I36" s="109">
        <f t="shared" si="13"/>
        <v>-32004.248919904487</v>
      </c>
      <c r="J36" s="109">
        <f>IF(A36&lt;Development!$C$6,0,IF(A36=Development!C$6,Development!$D$6,IF(I36&lt;0,IF(I35&gt;0,ROUNDDOWN(-I35/(I36-I35)*12,0),0),12)))</f>
        <v>0</v>
      </c>
      <c r="K36" s="109">
        <f>IF(OR(A36&lt;Development!$C$6,A36&gt;Abandonment!$B$4),0,(J36*I35-(I35-I36)*J36*(J36+1)/24)/12)</f>
        <v>0</v>
      </c>
      <c r="L36" s="109">
        <f>$K36*(L$7+'Selected Economics'!$G35)</f>
        <v>0</v>
      </c>
      <c r="M36" s="109">
        <f>$K36*(M$7+'Selected Economics'!$G35)</f>
        <v>0</v>
      </c>
      <c r="N36" s="109">
        <f>$K36*(N$7+'Selected Economics'!$G35)</f>
        <v>0</v>
      </c>
      <c r="O36" s="109">
        <f t="shared" si="23"/>
        <v>-30914.971697929403</v>
      </c>
      <c r="P36" s="109">
        <f t="shared" si="23"/>
        <v>-28736.417253979249</v>
      </c>
      <c r="Q36" s="109">
        <f t="shared" si="23"/>
        <v>-25105.493180728998</v>
      </c>
      <c r="R36" s="109">
        <f>IF(A36=Production!$B$4,Production!$B$5,IF(A36&lt;Production!$B$4,0,12+R35))</f>
        <v>197</v>
      </c>
      <c r="S36" s="109">
        <f>MIN($R36,IF(O36&lt;0,MAX(IF(Input!$B$36="Yes",MIN(12,24-R35),0),IF(AND(O35&gt;0,O36&lt;0),ROUNDDOWN(-O35/(O36-O35)*12,0)+0.5),0),12))</f>
        <v>0</v>
      </c>
      <c r="T36" s="109">
        <f>MAX(0,MIN($R36,IF(P36&lt;0,MAX(IF(Input!$B$36="Yes",MIN(12,36-SUM(T$11:T35)),0),IF(AND(P35&gt;0,P36&lt;0),ROUNDDOWN(-P35/(P36-P35)*12,0)+0.5),0),12))-S36)</f>
        <v>0</v>
      </c>
      <c r="U36" s="109">
        <f>MAX(0,MIN($R36,IF(AND(Q35&gt;0,Q36&lt;0),ROUNDDOWN(-Q35/(Q36-Q35)*12,0)+0.5,IF(AND(Q36&gt;0,MIN(Q$11:Q35)&gt;=0),12,0)))-SUM(S36:T36))</f>
        <v>0</v>
      </c>
      <c r="V36" s="109">
        <f t="shared" si="6"/>
        <v>12</v>
      </c>
      <c r="W36" s="109">
        <f t="shared" si="14"/>
        <v>609.29518825065395</v>
      </c>
      <c r="X36" s="109">
        <f t="shared" si="15"/>
        <v>19.497642697549907</v>
      </c>
      <c r="Y36" s="109">
        <f t="shared" si="7"/>
        <v>48.744106743874767</v>
      </c>
      <c r="Z36" s="109">
        <f t="shared" si="16"/>
        <v>121.8590376501308</v>
      </c>
      <c r="AA36" s="109">
        <f t="shared" si="8"/>
        <v>213.25331588772886</v>
      </c>
      <c r="AB36" s="109">
        <f t="shared" si="17"/>
        <v>0</v>
      </c>
      <c r="AC36" s="109">
        <f t="shared" si="9"/>
        <v>0</v>
      </c>
      <c r="AD36" s="109">
        <f t="shared" si="9"/>
        <v>0</v>
      </c>
      <c r="AE36" s="109">
        <f t="shared" si="9"/>
        <v>213.25331588772886</v>
      </c>
      <c r="AF36" s="109">
        <f t="shared" si="18"/>
        <v>213.25331588772886</v>
      </c>
      <c r="AG36" s="109">
        <f>IF(A36=Abandonment!$B$4,-W36,0)</f>
        <v>0</v>
      </c>
      <c r="AH36" s="109">
        <f t="shared" si="19"/>
        <v>609.29518825065395</v>
      </c>
      <c r="AI36" s="109">
        <f>MIN(AH36,MAX(0,$AL$3-SUM(AI37:AI$52)))</f>
        <v>0</v>
      </c>
      <c r="AJ36" s="109">
        <f t="shared" si="22"/>
        <v>213.25331588772886</v>
      </c>
      <c r="AK36" s="109">
        <f t="shared" si="10"/>
        <v>0</v>
      </c>
      <c r="AL36" s="109">
        <f>IF($A36=Abandonment!$B$4,LossRec,0)</f>
        <v>0</v>
      </c>
      <c r="AM36" s="109">
        <f t="shared" si="11"/>
        <v>213.25331588772886</v>
      </c>
      <c r="AN36" s="64"/>
      <c r="AO36" s="64"/>
      <c r="AP36" s="64"/>
      <c r="AQ36" s="184">
        <f t="shared" si="21"/>
        <v>48761</v>
      </c>
      <c r="AR36" s="184">
        <f>IF(AND(O36&lt;0,O35&gt;0,AR35=0),DATE($A36,MAX(12-$R36,0)+SUM($S36:S36)+0.5,1),AR35)</f>
        <v>48853</v>
      </c>
      <c r="AS36" s="184">
        <f>IF(AND(P36&lt;0,P35&gt;0,AS35=0),DATE($A36,MAX(12-$R36,0)+SUM($S36:T36)+0.5,1),AS35)</f>
        <v>49065</v>
      </c>
      <c r="AT36" s="184">
        <f>IF(AND(Q36&lt;0,Q35&gt;0,AT35=0),DATE($A36,MAX(12-$R36,0)+SUM($S36:U36)+0.5,1),AT35)</f>
        <v>49369</v>
      </c>
      <c r="AU36" s="64"/>
      <c r="AV36" s="64"/>
      <c r="AW36" s="64"/>
      <c r="AX36" s="64"/>
      <c r="AY36" s="64"/>
      <c r="AZ36" s="64"/>
      <c r="BA36" s="64"/>
      <c r="BB36" s="64"/>
    </row>
    <row r="37" spans="1:54">
      <c r="A37" s="90">
        <f t="shared" si="20"/>
        <v>2048</v>
      </c>
      <c r="B37" s="109">
        <f>'Success Cash Flow'!E35</f>
        <v>855.66234034135948</v>
      </c>
      <c r="C37" s="109">
        <f>IF(noteco=Lists!A$85,0,Exploration!AB62)</f>
        <v>0</v>
      </c>
      <c r="D37" s="109">
        <f>Development!BP117</f>
        <v>0</v>
      </c>
      <c r="E37" s="109">
        <f>Operations!S44</f>
        <v>364.89278494593253</v>
      </c>
      <c r="F37" s="109">
        <f>Abandonment!G41</f>
        <v>0</v>
      </c>
      <c r="G37" s="109">
        <f t="shared" si="3"/>
        <v>0</v>
      </c>
      <c r="H37" s="109">
        <f t="shared" si="12"/>
        <v>364.89278494593253</v>
      </c>
      <c r="I37" s="109">
        <f t="shared" si="13"/>
        <v>-32495.018475299912</v>
      </c>
      <c r="J37" s="109">
        <f>IF(A37&lt;Development!$C$6,0,IF(A37=Development!C$6,Development!$D$6,IF(I37&lt;0,IF(I36&gt;0,ROUNDDOWN(-I36/(I37-I36)*12,0),0),12)))</f>
        <v>0</v>
      </c>
      <c r="K37" s="109">
        <f>IF(OR(A37&lt;Development!$C$6,A37&gt;Abandonment!$B$4),0,(J37*I36-(I36-I37)*J37*(J37+1)/24)/12)</f>
        <v>0</v>
      </c>
      <c r="L37" s="109">
        <f>$K37*(L$7+'Selected Economics'!$G36)</f>
        <v>0</v>
      </c>
      <c r="M37" s="109">
        <f>$K37*(M$7+'Selected Economics'!$G36)</f>
        <v>0</v>
      </c>
      <c r="N37" s="109">
        <f>$K37*(N$7+'Selected Economics'!$G36)</f>
        <v>0</v>
      </c>
      <c r="O37" s="109">
        <f t="shared" si="23"/>
        <v>-31405.741253324828</v>
      </c>
      <c r="P37" s="109">
        <f t="shared" si="23"/>
        <v>-29227.186809374674</v>
      </c>
      <c r="Q37" s="109">
        <f t="shared" si="23"/>
        <v>-25596.262736124423</v>
      </c>
      <c r="R37" s="109">
        <f>IF(A37=Production!$B$4,Production!$B$5,IF(A37&lt;Production!$B$4,0,12+R36))</f>
        <v>209</v>
      </c>
      <c r="S37" s="109">
        <f>MIN($R37,IF(O37&lt;0,MAX(IF(Input!$B$36="Yes",MIN(12,24-R36),0),IF(AND(O36&gt;0,O37&lt;0),ROUNDDOWN(-O36/(O37-O36)*12,0)+0.5),0),12))</f>
        <v>0</v>
      </c>
      <c r="T37" s="109">
        <f>MAX(0,MIN($R37,IF(P37&lt;0,MAX(IF(Input!$B$36="Yes",MIN(12,36-SUM(T$11:T36)),0),IF(AND(P36&gt;0,P37&lt;0),ROUNDDOWN(-P36/(P37-P36)*12,0)+0.5),0),12))-S37)</f>
        <v>0</v>
      </c>
      <c r="U37" s="109">
        <f>MAX(0,MIN($R37,IF(AND(Q36&gt;0,Q37&lt;0),ROUNDDOWN(-Q36/(Q37-Q36)*12,0)+0.5,IF(AND(Q37&gt;0,MIN(Q$11:Q36)&gt;=0),12,0)))-SUM(S37:T37))</f>
        <v>0</v>
      </c>
      <c r="V37" s="109">
        <f t="shared" si="6"/>
        <v>12</v>
      </c>
      <c r="W37" s="109">
        <f t="shared" si="14"/>
        <v>490.76955539542695</v>
      </c>
      <c r="X37" s="109">
        <f t="shared" si="15"/>
        <v>17.113246806827188</v>
      </c>
      <c r="Y37" s="109">
        <f t="shared" si="7"/>
        <v>42.78311701706798</v>
      </c>
      <c r="Z37" s="109">
        <f t="shared" si="16"/>
        <v>98.15391107908539</v>
      </c>
      <c r="AA37" s="109">
        <f t="shared" si="8"/>
        <v>171.76934438839942</v>
      </c>
      <c r="AB37" s="109">
        <f t="shared" si="17"/>
        <v>0</v>
      </c>
      <c r="AC37" s="109">
        <f t="shared" si="9"/>
        <v>0</v>
      </c>
      <c r="AD37" s="109">
        <f t="shared" si="9"/>
        <v>0</v>
      </c>
      <c r="AE37" s="109">
        <f t="shared" si="9"/>
        <v>171.76934438839942</v>
      </c>
      <c r="AF37" s="109">
        <f t="shared" si="18"/>
        <v>171.76934438839942</v>
      </c>
      <c r="AG37" s="109">
        <f>IF(A37=Abandonment!$B$4,-W37,0)</f>
        <v>0</v>
      </c>
      <c r="AH37" s="109">
        <f t="shared" si="19"/>
        <v>490.76955539542695</v>
      </c>
      <c r="AI37" s="109">
        <f>MIN(AH37,MAX(0,$AL$3-SUM(AI38:AI$52)))</f>
        <v>0</v>
      </c>
      <c r="AJ37" s="109">
        <f t="shared" si="22"/>
        <v>171.76934438839942</v>
      </c>
      <c r="AK37" s="109">
        <f t="shared" si="10"/>
        <v>0</v>
      </c>
      <c r="AL37" s="109">
        <f>IF($A37=Abandonment!$B$4,LossRec,0)</f>
        <v>0</v>
      </c>
      <c r="AM37" s="109">
        <f t="shared" si="11"/>
        <v>171.76934438839942</v>
      </c>
      <c r="AN37" s="64"/>
      <c r="AO37" s="64"/>
      <c r="AP37" s="64"/>
      <c r="AQ37" s="184">
        <f t="shared" si="21"/>
        <v>48761</v>
      </c>
      <c r="AR37" s="184">
        <f>IF(AND(O37&lt;0,O36&gt;0,AR36=0),DATE($A37,MAX(12-$R37,0)+SUM($S37:S37)+0.5,1),AR36)</f>
        <v>48853</v>
      </c>
      <c r="AS37" s="184">
        <f>IF(AND(P37&lt;0,P36&gt;0,AS36=0),DATE($A37,MAX(12-$R37,0)+SUM($S37:T37)+0.5,1),AS36)</f>
        <v>49065</v>
      </c>
      <c r="AT37" s="184">
        <f>IF(AND(Q37&lt;0,Q36&gt;0,AT36=0),DATE($A37,MAX(12-$R37,0)+SUM($S37:U37)+0.5,1),AT36)</f>
        <v>49369</v>
      </c>
      <c r="AU37" s="64"/>
      <c r="AV37" s="64"/>
      <c r="AW37" s="64"/>
      <c r="AX37" s="64"/>
      <c r="AY37" s="64"/>
      <c r="AZ37" s="64"/>
      <c r="BA37" s="64"/>
      <c r="BB37" s="64"/>
    </row>
    <row r="38" spans="1:54">
      <c r="A38" s="90">
        <f t="shared" si="20"/>
        <v>2049</v>
      </c>
      <c r="B38" s="109">
        <f>'Success Cash Flow'!E36</f>
        <v>746.91475677506548</v>
      </c>
      <c r="C38" s="109">
        <f>IF(noteco=Lists!A$85,0,Exploration!AB63)</f>
        <v>0</v>
      </c>
      <c r="D38" s="109">
        <f>Development!BP118</f>
        <v>0</v>
      </c>
      <c r="E38" s="109">
        <f>Operations!S45</f>
        <v>365.48877779634034</v>
      </c>
      <c r="F38" s="109">
        <f>Abandonment!G42</f>
        <v>0</v>
      </c>
      <c r="G38" s="109">
        <f t="shared" si="3"/>
        <v>0</v>
      </c>
      <c r="H38" s="109">
        <f t="shared" si="12"/>
        <v>365.48877779634034</v>
      </c>
      <c r="I38" s="109">
        <f t="shared" si="13"/>
        <v>-32876.444454278637</v>
      </c>
      <c r="J38" s="109">
        <f>IF(A38&lt;Development!$C$6,0,IF(A38=Development!C$6,Development!$D$6,IF(I38&lt;0,IF(I37&gt;0,ROUNDDOWN(-I37/(I38-I37)*12,0),0),12)))</f>
        <v>0</v>
      </c>
      <c r="K38" s="109">
        <f>IF(OR(A38&lt;Development!$C$6,A38&gt;Abandonment!$B$4),0,(J38*I37-(I37-I38)*J38*(J38+1)/24)/12)</f>
        <v>0</v>
      </c>
      <c r="L38" s="109">
        <f>$K38*(L$7+'Selected Economics'!$G37)</f>
        <v>0</v>
      </c>
      <c r="M38" s="109">
        <f>$K38*(M$7+'Selected Economics'!$G37)</f>
        <v>0</v>
      </c>
      <c r="N38" s="109">
        <f>$K38*(N$7+'Selected Economics'!$G37)</f>
        <v>0</v>
      </c>
      <c r="O38" s="109">
        <f t="shared" si="23"/>
        <v>-31787.167232303553</v>
      </c>
      <c r="P38" s="109">
        <f t="shared" si="23"/>
        <v>-29608.612788353399</v>
      </c>
      <c r="Q38" s="109">
        <f t="shared" si="23"/>
        <v>-25977.688715103148</v>
      </c>
      <c r="R38" s="109">
        <f>IF(A38=Production!$B$4,Production!$B$5,IF(A38&lt;Production!$B$4,0,12+R37))</f>
        <v>221</v>
      </c>
      <c r="S38" s="109">
        <f>MIN($R38,IF(O38&lt;0,MAX(IF(Input!$B$36="Yes",MIN(12,24-R37),0),IF(AND(O37&gt;0,O38&lt;0),ROUNDDOWN(-O37/(O38-O37)*12,0)+0.5),0),12))</f>
        <v>0</v>
      </c>
      <c r="T38" s="109">
        <f>MAX(0,MIN($R38,IF(P38&lt;0,MAX(IF(Input!$B$36="Yes",MIN(12,36-SUM(T$11:T37)),0),IF(AND(P37&gt;0,P38&lt;0),ROUNDDOWN(-P37/(P38-P37)*12,0)+0.5),0),12))-S38)</f>
        <v>0</v>
      </c>
      <c r="U38" s="109">
        <f>MAX(0,MIN($R38,IF(AND(Q37&gt;0,Q38&lt;0),ROUNDDOWN(-Q37/(Q38-Q37)*12,0)+0.5,IF(AND(Q38&gt;0,MIN(Q$11:Q37)&gt;=0),12,0)))-SUM(S38:T38))</f>
        <v>0</v>
      </c>
      <c r="V38" s="109">
        <f t="shared" si="6"/>
        <v>12</v>
      </c>
      <c r="W38" s="109">
        <f t="shared" si="14"/>
        <v>381.42597897872514</v>
      </c>
      <c r="X38" s="109">
        <f t="shared" si="15"/>
        <v>14.93829513550131</v>
      </c>
      <c r="Y38" s="109">
        <f t="shared" si="7"/>
        <v>37.345737838753273</v>
      </c>
      <c r="Z38" s="109">
        <f t="shared" si="16"/>
        <v>76.285195795745025</v>
      </c>
      <c r="AA38" s="109">
        <f t="shared" si="8"/>
        <v>133.49909264255379</v>
      </c>
      <c r="AB38" s="109">
        <f t="shared" si="17"/>
        <v>0</v>
      </c>
      <c r="AC38" s="109">
        <f t="shared" si="9"/>
        <v>0</v>
      </c>
      <c r="AD38" s="109">
        <f t="shared" si="9"/>
        <v>0</v>
      </c>
      <c r="AE38" s="109">
        <f t="shared" si="9"/>
        <v>133.49909264255379</v>
      </c>
      <c r="AF38" s="109">
        <f t="shared" si="18"/>
        <v>133.49909264255379</v>
      </c>
      <c r="AG38" s="109">
        <f>IF(A38=Abandonment!$B$4,-W38,0)</f>
        <v>0</v>
      </c>
      <c r="AH38" s="109">
        <f t="shared" si="19"/>
        <v>381.42597897872514</v>
      </c>
      <c r="AI38" s="109">
        <f>MIN(AH38,MAX(0,$AL$3-SUM(AI39:AI$52)))</f>
        <v>0</v>
      </c>
      <c r="AJ38" s="109">
        <f t="shared" si="22"/>
        <v>133.49909264255379</v>
      </c>
      <c r="AK38" s="109">
        <f t="shared" si="10"/>
        <v>0</v>
      </c>
      <c r="AL38" s="109">
        <f>IF($A38=Abandonment!$B$4,LossRec,0)</f>
        <v>0</v>
      </c>
      <c r="AM38" s="109">
        <f t="shared" si="11"/>
        <v>133.49909264255379</v>
      </c>
      <c r="AN38" s="64"/>
      <c r="AO38" s="64"/>
      <c r="AP38" s="64"/>
      <c r="AQ38" s="184">
        <f t="shared" si="21"/>
        <v>48761</v>
      </c>
      <c r="AR38" s="184">
        <f>IF(AND(O38&lt;0,O37&gt;0,AR37=0),DATE($A38,MAX(12-$R38,0)+SUM($S38:S38)+0.5,1),AR37)</f>
        <v>48853</v>
      </c>
      <c r="AS38" s="184">
        <f>IF(AND(P38&lt;0,P37&gt;0,AS37=0),DATE($A38,MAX(12-$R38,0)+SUM($S38:T38)+0.5,1),AS37)</f>
        <v>49065</v>
      </c>
      <c r="AT38" s="184">
        <f>IF(AND(Q38&lt;0,Q37&gt;0,AT37=0),DATE($A38,MAX(12-$R38,0)+SUM($S38:U38)+0.5,1),AT37)</f>
        <v>49369</v>
      </c>
      <c r="AU38" s="64"/>
      <c r="AV38" s="64"/>
      <c r="AW38" s="64"/>
      <c r="AX38" s="64"/>
      <c r="AY38" s="64"/>
      <c r="AZ38" s="64"/>
      <c r="BA38" s="64"/>
      <c r="BB38" s="64"/>
    </row>
    <row r="39" spans="1:54">
      <c r="A39" s="90">
        <f t="shared" si="20"/>
        <v>2050</v>
      </c>
      <c r="B39" s="109">
        <f>'Success Cash Flow'!E37</f>
        <v>653.92386955657173</v>
      </c>
      <c r="C39" s="109">
        <f>IF(noteco=Lists!A$85,0,Exploration!AB64)</f>
        <v>0</v>
      </c>
      <c r="D39" s="109">
        <f>Development!BP119</f>
        <v>0</v>
      </c>
      <c r="E39" s="109">
        <f>Operations!S46</f>
        <v>367.47242258051153</v>
      </c>
      <c r="F39" s="109">
        <f>Abandonment!G43</f>
        <v>0</v>
      </c>
      <c r="G39" s="109">
        <f t="shared" si="3"/>
        <v>0</v>
      </c>
      <c r="H39" s="109">
        <f t="shared" si="12"/>
        <v>367.47242258051153</v>
      </c>
      <c r="I39" s="109">
        <f t="shared" si="13"/>
        <v>-33162.895901254698</v>
      </c>
      <c r="J39" s="109">
        <f>IF(A39&lt;Development!$C$6,0,IF(A39=Development!C$6,Development!$D$6,IF(I39&lt;0,IF(I38&gt;0,ROUNDDOWN(-I38/(I39-I38)*12,0),0),12)))</f>
        <v>0</v>
      </c>
      <c r="K39" s="109">
        <f>IF(OR(A39&lt;Development!$C$6,A39&gt;Abandonment!$B$4),0,(J39*I38-(I38-I39)*J39*(J39+1)/24)/12)</f>
        <v>0</v>
      </c>
      <c r="L39" s="109">
        <f>$K39*(L$7+'Selected Economics'!$G38)</f>
        <v>0</v>
      </c>
      <c r="M39" s="109">
        <f>$K39*(M$7+'Selected Economics'!$G38)</f>
        <v>0</v>
      </c>
      <c r="N39" s="109">
        <f>$K39*(N$7+'Selected Economics'!$G38)</f>
        <v>0</v>
      </c>
      <c r="O39" s="109">
        <f t="shared" si="23"/>
        <v>-32073.618679279614</v>
      </c>
      <c r="P39" s="109">
        <f t="shared" si="23"/>
        <v>-29895.064235329461</v>
      </c>
      <c r="Q39" s="109">
        <f t="shared" si="23"/>
        <v>-26264.140162079209</v>
      </c>
      <c r="R39" s="109">
        <f>IF(A39=Production!$B$4,Production!$B$5,IF(A39&lt;Production!$B$4,0,12+R38))</f>
        <v>233</v>
      </c>
      <c r="S39" s="109">
        <f>MIN($R39,IF(O39&lt;0,MAX(IF(Input!$B$36="Yes",MIN(12,24-R38),0),IF(AND(O38&gt;0,O39&lt;0),ROUNDDOWN(-O38/(O39-O38)*12,0)+0.5),0),12))</f>
        <v>0</v>
      </c>
      <c r="T39" s="109">
        <f>MAX(0,MIN($R39,IF(P39&lt;0,MAX(IF(Input!$B$36="Yes",MIN(12,36-SUM(T$11:T38)),0),IF(AND(P38&gt;0,P39&lt;0),ROUNDDOWN(-P38/(P39-P38)*12,0)+0.5),0),12))-S39)</f>
        <v>0</v>
      </c>
      <c r="U39" s="109">
        <f>MAX(0,MIN($R39,IF(AND(Q38&gt;0,Q39&lt;0),ROUNDDOWN(-Q38/(Q39-Q38)*12,0)+0.5,IF(AND(Q39&gt;0,MIN(Q$11:Q38)&gt;=0),12,0)))-SUM(S39:T39))</f>
        <v>0</v>
      </c>
      <c r="V39" s="109">
        <f t="shared" si="6"/>
        <v>12</v>
      </c>
      <c r="W39" s="109">
        <f t="shared" si="14"/>
        <v>286.4514469760602</v>
      </c>
      <c r="X39" s="109">
        <f t="shared" si="15"/>
        <v>13.078477391131434</v>
      </c>
      <c r="Y39" s="109">
        <f t="shared" si="7"/>
        <v>32.696193477828587</v>
      </c>
      <c r="Z39" s="109">
        <f t="shared" si="16"/>
        <v>57.290289395212042</v>
      </c>
      <c r="AA39" s="109">
        <f t="shared" si="8"/>
        <v>100.25800644162106</v>
      </c>
      <c r="AB39" s="109">
        <f t="shared" si="17"/>
        <v>0</v>
      </c>
      <c r="AC39" s="109">
        <f t="shared" si="9"/>
        <v>0</v>
      </c>
      <c r="AD39" s="109">
        <f t="shared" si="9"/>
        <v>0</v>
      </c>
      <c r="AE39" s="109">
        <f t="shared" si="9"/>
        <v>100.25800644162105</v>
      </c>
      <c r="AF39" s="109">
        <f t="shared" si="18"/>
        <v>100.25800644162105</v>
      </c>
      <c r="AG39" s="109">
        <f>IF(A39=Abandonment!$B$4,-W39,0)</f>
        <v>0</v>
      </c>
      <c r="AH39" s="109">
        <f t="shared" si="19"/>
        <v>286.4514469760602</v>
      </c>
      <c r="AI39" s="109">
        <f>MIN(AH39,MAX(0,$AL$3-SUM(AI40:AI$52)))</f>
        <v>141.59980144293831</v>
      </c>
      <c r="AJ39" s="109">
        <f t="shared" si="22"/>
        <v>50.698075936592652</v>
      </c>
      <c r="AK39" s="109">
        <f t="shared" si="10"/>
        <v>49.559930505028397</v>
      </c>
      <c r="AL39" s="109">
        <f>IF($A39=Abandonment!$B$4,LossRec,0)</f>
        <v>0</v>
      </c>
      <c r="AM39" s="109">
        <f t="shared" si="11"/>
        <v>100.25800644162105</v>
      </c>
      <c r="AN39" s="64"/>
      <c r="AO39" s="64"/>
      <c r="AP39" s="64"/>
      <c r="AQ39" s="184">
        <f t="shared" si="21"/>
        <v>48761</v>
      </c>
      <c r="AR39" s="184">
        <f>IF(AND(O39&lt;0,O38&gt;0,AR38=0),DATE($A39,MAX(12-$R39,0)+SUM($S39:S39)+0.5,1),AR38)</f>
        <v>48853</v>
      </c>
      <c r="AS39" s="184">
        <f>IF(AND(P39&lt;0,P38&gt;0,AS38=0),DATE($A39,MAX(12-$R39,0)+SUM($S39:T39)+0.5,1),AS38)</f>
        <v>49065</v>
      </c>
      <c r="AT39" s="184">
        <f>IF(AND(Q39&lt;0,Q38&gt;0,AT38=0),DATE($A39,MAX(12-$R39,0)+SUM($S39:U39)+0.5,1),AT38)</f>
        <v>49369</v>
      </c>
      <c r="AU39" s="64"/>
      <c r="AV39" s="64"/>
      <c r="AW39" s="64"/>
      <c r="AX39" s="64"/>
      <c r="AY39" s="64"/>
      <c r="AZ39" s="64"/>
      <c r="BA39" s="64"/>
      <c r="BB39" s="64"/>
    </row>
    <row r="40" spans="1:54">
      <c r="A40" s="90">
        <f t="shared" si="20"/>
        <v>2051</v>
      </c>
      <c r="B40" s="109">
        <f>'Success Cash Flow'!E38</f>
        <v>572.51034779677798</v>
      </c>
      <c r="C40" s="109">
        <f>IF(noteco=Lists!A$85,0,Exploration!AB65)</f>
        <v>0</v>
      </c>
      <c r="D40" s="109">
        <f>Development!BP120</f>
        <v>0</v>
      </c>
      <c r="E40" s="109">
        <f>Operations!S47</f>
        <v>370.63371351764778</v>
      </c>
      <c r="F40" s="109">
        <f>Abandonment!G44</f>
        <v>0</v>
      </c>
      <c r="G40" s="109">
        <f t="shared" si="3"/>
        <v>0</v>
      </c>
      <c r="H40" s="109">
        <f t="shared" si="12"/>
        <v>370.63371351764778</v>
      </c>
      <c r="I40" s="109">
        <f t="shared" si="13"/>
        <v>-33364.772535533826</v>
      </c>
      <c r="J40" s="109">
        <f>IF(A40&lt;Development!$C$6,0,IF(A40=Development!C$6,Development!$D$6,IF(I40&lt;0,IF(I39&gt;0,ROUNDDOWN(-I39/(I40-I39)*12,0),0),12)))</f>
        <v>0</v>
      </c>
      <c r="K40" s="109">
        <f>IF(OR(A40&lt;Development!$C$6,A40&gt;Abandonment!$B$4),0,(J40*I39-(I39-I40)*J40*(J40+1)/24)/12)</f>
        <v>0</v>
      </c>
      <c r="L40" s="109">
        <f>$K40*(L$7+'Selected Economics'!$G39)</f>
        <v>0</v>
      </c>
      <c r="M40" s="109">
        <f>$K40*(M$7+'Selected Economics'!$G39)</f>
        <v>0</v>
      </c>
      <c r="N40" s="109">
        <f>$K40*(N$7+'Selected Economics'!$G39)</f>
        <v>0</v>
      </c>
      <c r="O40" s="109">
        <f t="shared" si="23"/>
        <v>-32275.495313558746</v>
      </c>
      <c r="P40" s="109">
        <f t="shared" si="23"/>
        <v>-30096.940869608592</v>
      </c>
      <c r="Q40" s="109">
        <f t="shared" si="23"/>
        <v>-26466.016796358341</v>
      </c>
      <c r="R40" s="109">
        <f>IF(A40=Production!$B$4,Production!$B$5,IF(A40&lt;Production!$B$4,0,12+R39))</f>
        <v>245</v>
      </c>
      <c r="S40" s="109">
        <f>MIN($R40,IF(O40&lt;0,MAX(IF(Input!$B$36="Yes",MIN(12,24-R39),0),IF(AND(O39&gt;0,O40&lt;0),ROUNDDOWN(-O39/(O40-O39)*12,0)+0.5),0),12))</f>
        <v>0</v>
      </c>
      <c r="T40" s="109">
        <f>MAX(0,MIN($R40,IF(P40&lt;0,MAX(IF(Input!$B$36="Yes",MIN(12,36-SUM(T$11:T39)),0),IF(AND(P39&gt;0,P40&lt;0),ROUNDDOWN(-P39/(P40-P39)*12,0)+0.5),0),12))-S40)</f>
        <v>0</v>
      </c>
      <c r="U40" s="109">
        <f>MAX(0,MIN($R40,IF(AND(Q39&gt;0,Q40&lt;0),ROUNDDOWN(-Q39/(Q40-Q39)*12,0)+0.5,IF(AND(Q40&gt;0,MIN(Q$11:Q39)&gt;=0),12,0)))-SUM(S40:T40))</f>
        <v>0</v>
      </c>
      <c r="V40" s="109">
        <f t="shared" si="6"/>
        <v>12</v>
      </c>
      <c r="W40" s="109">
        <f t="shared" si="14"/>
        <v>201.8766342791302</v>
      </c>
      <c r="X40" s="109">
        <f t="shared" si="15"/>
        <v>11.45020695593556</v>
      </c>
      <c r="Y40" s="109">
        <f t="shared" si="7"/>
        <v>28.625517389838901</v>
      </c>
      <c r="Z40" s="109">
        <f t="shared" si="16"/>
        <v>40.375326855826046</v>
      </c>
      <c r="AA40" s="109">
        <f t="shared" si="8"/>
        <v>70.656821997695559</v>
      </c>
      <c r="AB40" s="109">
        <f t="shared" si="17"/>
        <v>0</v>
      </c>
      <c r="AC40" s="109">
        <f t="shared" si="9"/>
        <v>0</v>
      </c>
      <c r="AD40" s="109">
        <f t="shared" si="9"/>
        <v>0</v>
      </c>
      <c r="AE40" s="109">
        <f t="shared" si="9"/>
        <v>70.656821997695559</v>
      </c>
      <c r="AF40" s="109">
        <f t="shared" si="18"/>
        <v>70.656821997695559</v>
      </c>
      <c r="AG40" s="109">
        <f>IF(A40=Abandonment!$B$4,-W40,0)</f>
        <v>0</v>
      </c>
      <c r="AH40" s="109">
        <f t="shared" si="19"/>
        <v>201.8766342791302</v>
      </c>
      <c r="AI40" s="109">
        <f>MIN(AH40,MAX(0,$AL$3-SUM(AI41:AI$52)))</f>
        <v>201.8766342791302</v>
      </c>
      <c r="AJ40" s="109">
        <f t="shared" si="22"/>
        <v>28.625517389838901</v>
      </c>
      <c r="AK40" s="109">
        <f t="shared" si="10"/>
        <v>42.031304607856654</v>
      </c>
      <c r="AL40" s="109">
        <f>IF($A40=Abandonment!$B$4,LossRec,0)</f>
        <v>0</v>
      </c>
      <c r="AM40" s="109">
        <f t="shared" si="11"/>
        <v>70.656821997695559</v>
      </c>
      <c r="AN40" s="64"/>
      <c r="AO40" s="64"/>
      <c r="AP40" s="64"/>
      <c r="AQ40" s="184">
        <f t="shared" si="21"/>
        <v>48761</v>
      </c>
      <c r="AR40" s="184">
        <f>IF(AND(O40&lt;0,O39&gt;0,AR39=0),DATE($A40,MAX(12-$R40,0)+SUM($S40:S40)+0.5,1),AR39)</f>
        <v>48853</v>
      </c>
      <c r="AS40" s="184">
        <f>IF(AND(P40&lt;0,P39&gt;0,AS39=0),DATE($A40,MAX(12-$R40,0)+SUM($S40:T40)+0.5,1),AS39)</f>
        <v>49065</v>
      </c>
      <c r="AT40" s="184">
        <f>IF(AND(Q40&lt;0,Q39&gt;0,AT39=0),DATE($A40,MAX(12-$R40,0)+SUM($S40:U40)+0.5,1),AT39)</f>
        <v>49369</v>
      </c>
      <c r="AU40" s="64"/>
      <c r="AV40" s="64"/>
      <c r="AW40" s="64"/>
      <c r="AX40" s="64"/>
      <c r="AY40" s="64"/>
      <c r="AZ40" s="64"/>
      <c r="BA40" s="64"/>
      <c r="BB40" s="64"/>
    </row>
    <row r="41" spans="1:54">
      <c r="A41" s="90">
        <f t="shared" si="20"/>
        <v>2052</v>
      </c>
      <c r="B41" s="109">
        <f>'Success Cash Flow'!E39</f>
        <v>502.49720098419101</v>
      </c>
      <c r="C41" s="109">
        <f>IF(noteco=Lists!A$85,0,Exploration!AB66)</f>
        <v>0</v>
      </c>
      <c r="D41" s="109">
        <f>Development!BP121</f>
        <v>0</v>
      </c>
      <c r="E41" s="109">
        <f>Operations!S48</f>
        <v>374.90422108316955</v>
      </c>
      <c r="F41" s="109">
        <f>Abandonment!G45</f>
        <v>0</v>
      </c>
      <c r="G41" s="109">
        <f t="shared" si="3"/>
        <v>0</v>
      </c>
      <c r="H41" s="109">
        <f t="shared" si="12"/>
        <v>374.90422108316955</v>
      </c>
      <c r="I41" s="109">
        <f t="shared" si="13"/>
        <v>-33492.365515434845</v>
      </c>
      <c r="J41" s="109">
        <f>IF(A41&lt;Development!$C$6,0,IF(A41=Development!C$6,Development!$D$6,IF(I41&lt;0,IF(I40&gt;0,ROUNDDOWN(-I40/(I41-I40)*12,0),0),12)))</f>
        <v>0</v>
      </c>
      <c r="K41" s="109">
        <f>IF(OR(A41&lt;Development!$C$6,A41&gt;Abandonment!$B$4),0,(J41*I40-(I40-I41)*J41*(J41+1)/24)/12)</f>
        <v>0</v>
      </c>
      <c r="L41" s="109">
        <f>$K41*(L$7+'Selected Economics'!$G40)</f>
        <v>0</v>
      </c>
      <c r="M41" s="109">
        <f>$K41*(M$7+'Selected Economics'!$G40)</f>
        <v>0</v>
      </c>
      <c r="N41" s="109">
        <f>$K41*(N$7+'Selected Economics'!$G40)</f>
        <v>0</v>
      </c>
      <c r="O41" s="109">
        <f t="shared" si="23"/>
        <v>-32403.088293459768</v>
      </c>
      <c r="P41" s="109">
        <f t="shared" si="23"/>
        <v>-30224.533849509615</v>
      </c>
      <c r="Q41" s="109">
        <f t="shared" si="23"/>
        <v>-26593.609776259364</v>
      </c>
      <c r="R41" s="109">
        <f>IF(A41=Production!$B$4,Production!$B$5,IF(A41&lt;Production!$B$4,0,12+R40))</f>
        <v>257</v>
      </c>
      <c r="S41" s="109">
        <f>MIN($R41,IF(O41&lt;0,MAX(IF(Input!$B$36="Yes",MIN(12,24-R40),0),IF(AND(O40&gt;0,O41&lt;0),ROUNDDOWN(-O40/(O41-O40)*12,0)+0.5),0),12))</f>
        <v>0</v>
      </c>
      <c r="T41" s="109">
        <f>MAX(0,MIN($R41,IF(P41&lt;0,MAX(IF(Input!$B$36="Yes",MIN(12,36-SUM(T$11:T40)),0),IF(AND(P40&gt;0,P41&lt;0),ROUNDDOWN(-P40/(P41-P40)*12,0)+0.5),0),12))-S41)</f>
        <v>0</v>
      </c>
      <c r="U41" s="109">
        <f>MAX(0,MIN($R41,IF(AND(Q40&gt;0,Q41&lt;0),ROUNDDOWN(-Q40/(Q41-Q40)*12,0)+0.5,IF(AND(Q41&gt;0,MIN(Q$11:Q40)&gt;=0),12,0)))-SUM(S41:T41))</f>
        <v>0</v>
      </c>
      <c r="V41" s="109">
        <f t="shared" si="6"/>
        <v>12</v>
      </c>
      <c r="W41" s="109">
        <f t="shared" si="14"/>
        <v>127.59297990102147</v>
      </c>
      <c r="X41" s="109">
        <f t="shared" si="15"/>
        <v>10.049944019683821</v>
      </c>
      <c r="Y41" s="109">
        <f t="shared" si="7"/>
        <v>25.124860049209552</v>
      </c>
      <c r="Z41" s="109">
        <f t="shared" si="16"/>
        <v>25.518595980204296</v>
      </c>
      <c r="AA41" s="109">
        <f t="shared" si="8"/>
        <v>44.657542965357507</v>
      </c>
      <c r="AB41" s="109">
        <f t="shared" si="17"/>
        <v>0</v>
      </c>
      <c r="AC41" s="109">
        <f t="shared" si="9"/>
        <v>0</v>
      </c>
      <c r="AD41" s="109">
        <f t="shared" si="9"/>
        <v>0</v>
      </c>
      <c r="AE41" s="109">
        <f t="shared" si="9"/>
        <v>44.657542965357514</v>
      </c>
      <c r="AF41" s="109">
        <f t="shared" si="18"/>
        <v>44.657542965357514</v>
      </c>
      <c r="AG41" s="109">
        <f>IF(A41=Abandonment!$B$4,-W41,0)</f>
        <v>0</v>
      </c>
      <c r="AH41" s="109">
        <f t="shared" si="19"/>
        <v>127.59297990102147</v>
      </c>
      <c r="AI41" s="109">
        <f>MIN(AH41,MAX(0,$AL$3-SUM(AI42:AI$52)))</f>
        <v>127.59297990102147</v>
      </c>
      <c r="AJ41" s="109">
        <f t="shared" si="22"/>
        <v>25.124860049209548</v>
      </c>
      <c r="AK41" s="109">
        <f t="shared" si="10"/>
        <v>19.532682916147966</v>
      </c>
      <c r="AL41" s="109">
        <f>IF($A41=Abandonment!$B$4,LossRec,0)</f>
        <v>0</v>
      </c>
      <c r="AM41" s="109">
        <f t="shared" si="11"/>
        <v>44.657542965357514</v>
      </c>
      <c r="AN41" s="64"/>
      <c r="AO41" s="64"/>
      <c r="AP41" s="64"/>
      <c r="AQ41" s="184">
        <f t="shared" si="21"/>
        <v>48761</v>
      </c>
      <c r="AR41" s="184">
        <f>IF(AND(O41&lt;0,O40&gt;0,AR40=0),DATE($A41,MAX(12-$R41,0)+SUM($S41:S41)+0.5,1),AR40)</f>
        <v>48853</v>
      </c>
      <c r="AS41" s="184">
        <f>IF(AND(P41&lt;0,P40&gt;0,AS40=0),DATE($A41,MAX(12-$R41,0)+SUM($S41:T41)+0.5,1),AS40)</f>
        <v>49065</v>
      </c>
      <c r="AT41" s="184">
        <f>IF(AND(Q41&lt;0,Q40&gt;0,AT40=0),DATE($A41,MAX(12-$R41,0)+SUM($S41:U41)+0.5,1),AT40)</f>
        <v>49369</v>
      </c>
      <c r="AU41" s="64"/>
      <c r="AV41" s="64"/>
      <c r="AW41" s="64"/>
      <c r="AX41" s="64"/>
      <c r="AY41" s="64"/>
      <c r="AZ41" s="64"/>
      <c r="BA41" s="64"/>
      <c r="BB41" s="64"/>
    </row>
    <row r="42" spans="1:54">
      <c r="A42" s="90">
        <f t="shared" si="20"/>
        <v>2053</v>
      </c>
      <c r="B42" s="109">
        <f>'Success Cash Flow'!E40</f>
        <v>438.63397622890432</v>
      </c>
      <c r="C42" s="109">
        <f>IF(noteco=Lists!A$85,0,Exploration!AB67)</f>
        <v>0</v>
      </c>
      <c r="D42" s="109">
        <f>Development!BP122</f>
        <v>0</v>
      </c>
      <c r="E42" s="109">
        <f>Operations!S49</f>
        <v>380.0727310599076</v>
      </c>
      <c r="F42" s="109">
        <f>Abandonment!G46</f>
        <v>0</v>
      </c>
      <c r="G42" s="109">
        <f t="shared" si="3"/>
        <v>0</v>
      </c>
      <c r="H42" s="109">
        <f t="shared" si="12"/>
        <v>380.0727310599076</v>
      </c>
      <c r="I42" s="109">
        <f t="shared" si="13"/>
        <v>-33550.926760603841</v>
      </c>
      <c r="J42" s="109">
        <f>IF(A42&lt;Development!$C$6,0,IF(A42=Development!C$6,Development!$D$6,IF(I42&lt;0,IF(I41&gt;0,ROUNDDOWN(-I41/(I42-I41)*12,0),0),12)))</f>
        <v>0</v>
      </c>
      <c r="K42" s="109">
        <f>IF(OR(A42&lt;Development!$C$6,A42&gt;Abandonment!$B$4),0,(J42*I41-(I41-I42)*J42*(J42+1)/24)/12)</f>
        <v>0</v>
      </c>
      <c r="L42" s="109">
        <f>$K42*(L$7+'Selected Economics'!$G41)</f>
        <v>0</v>
      </c>
      <c r="M42" s="109">
        <f>$K42*(M$7+'Selected Economics'!$G41)</f>
        <v>0</v>
      </c>
      <c r="N42" s="109">
        <f>$K42*(N$7+'Selected Economics'!$G41)</f>
        <v>0</v>
      </c>
      <c r="O42" s="109">
        <f t="shared" si="23"/>
        <v>-32461.649538628764</v>
      </c>
      <c r="P42" s="109">
        <f t="shared" si="23"/>
        <v>-30283.095094678611</v>
      </c>
      <c r="Q42" s="109">
        <f t="shared" si="23"/>
        <v>-26652.171021428359</v>
      </c>
      <c r="R42" s="109">
        <f>IF(A42=Production!$B$4,Production!$B$5,IF(A42&lt;Production!$B$4,0,12+R41))</f>
        <v>269</v>
      </c>
      <c r="S42" s="109">
        <f>MIN($R42,IF(O42&lt;0,MAX(IF(Input!$B$36="Yes",MIN(12,24-R41),0),IF(AND(O41&gt;0,O42&lt;0),ROUNDDOWN(-O41/(O42-O41)*12,0)+0.5),0),12))</f>
        <v>0</v>
      </c>
      <c r="T42" s="109">
        <f>MAX(0,MIN($R42,IF(P42&lt;0,MAX(IF(Input!$B$36="Yes",MIN(12,36-SUM(T$11:T41)),0),IF(AND(P41&gt;0,P42&lt;0),ROUNDDOWN(-P41/(P42-P41)*12,0)+0.5),0),12))-S42)</f>
        <v>0</v>
      </c>
      <c r="U42" s="109">
        <f>MAX(0,MIN($R42,IF(AND(Q41&gt;0,Q42&lt;0),ROUNDDOWN(-Q41/(Q42-Q41)*12,0)+0.5,IF(AND(Q42&gt;0,MIN(Q$11:Q41)&gt;=0),12,0)))-SUM(S42:T42))</f>
        <v>0</v>
      </c>
      <c r="V42" s="109">
        <f t="shared" si="6"/>
        <v>12</v>
      </c>
      <c r="W42" s="109">
        <f t="shared" si="14"/>
        <v>58.56124516899672</v>
      </c>
      <c r="X42" s="109">
        <f t="shared" si="15"/>
        <v>8.772679524578086</v>
      </c>
      <c r="Y42" s="109">
        <f t="shared" si="7"/>
        <v>21.931698811445216</v>
      </c>
      <c r="Z42" s="109">
        <f t="shared" si="16"/>
        <v>21.931698811445216</v>
      </c>
      <c r="AA42" s="109">
        <f t="shared" si="8"/>
        <v>21.931698811445216</v>
      </c>
      <c r="AB42" s="109">
        <f t="shared" si="17"/>
        <v>0</v>
      </c>
      <c r="AC42" s="109">
        <f t="shared" si="9"/>
        <v>0</v>
      </c>
      <c r="AD42" s="109">
        <f t="shared" si="9"/>
        <v>0</v>
      </c>
      <c r="AE42" s="109">
        <f t="shared" si="9"/>
        <v>21.931698811445216</v>
      </c>
      <c r="AF42" s="109">
        <f t="shared" si="18"/>
        <v>21.931698811445216</v>
      </c>
      <c r="AG42" s="109">
        <f>IF(A42=Abandonment!$B$4,-W42,0)</f>
        <v>0</v>
      </c>
      <c r="AH42" s="109">
        <f t="shared" si="19"/>
        <v>58.56124516899672</v>
      </c>
      <c r="AI42" s="109">
        <f>MIN(AH42,MAX(0,$AL$3-SUM(AI43:AI$52)))</f>
        <v>58.56124516899672</v>
      </c>
      <c r="AJ42" s="109">
        <f t="shared" si="22"/>
        <v>21.931698811445216</v>
      </c>
      <c r="AK42" s="109">
        <f t="shared" si="10"/>
        <v>0</v>
      </c>
      <c r="AL42" s="109">
        <f>IF($A42=Abandonment!$B$4,LossRec,0)</f>
        <v>0</v>
      </c>
      <c r="AM42" s="109">
        <f t="shared" si="11"/>
        <v>21.931698811445216</v>
      </c>
      <c r="AN42" s="64"/>
      <c r="AO42" s="64"/>
      <c r="AP42" s="64"/>
      <c r="AQ42" s="184">
        <f t="shared" si="21"/>
        <v>48761</v>
      </c>
      <c r="AR42" s="184">
        <f>IF(AND(O42&lt;0,O41&gt;0,AR41=0),DATE($A42,MAX(12-$R42,0)+SUM($S42:S42)+0.5,1),AR41)</f>
        <v>48853</v>
      </c>
      <c r="AS42" s="184">
        <f>IF(AND(P42&lt;0,P41&gt;0,AS41=0),DATE($A42,MAX(12-$R42,0)+SUM($S42:T42)+0.5,1),AS41)</f>
        <v>49065</v>
      </c>
      <c r="AT42" s="184">
        <f>IF(AND(Q42&lt;0,Q41&gt;0,AT41=0),DATE($A42,MAX(12-$R42,0)+SUM($S42:U42)+0.5,1),AT41)</f>
        <v>49369</v>
      </c>
      <c r="AU42" s="64"/>
      <c r="AV42" s="64"/>
      <c r="AW42" s="64"/>
      <c r="AX42" s="64"/>
      <c r="AY42" s="64"/>
      <c r="AZ42" s="64"/>
      <c r="BA42" s="64"/>
      <c r="BB42" s="64"/>
    </row>
    <row r="43" spans="1:54">
      <c r="A43" s="90">
        <f t="shared" si="20"/>
        <v>2054</v>
      </c>
      <c r="B43" s="109">
        <f>'Success Cash Flow'!E41</f>
        <v>384.02404618840427</v>
      </c>
      <c r="C43" s="109">
        <f>IF(noteco=Lists!A$85,0,Exploration!AB68)</f>
        <v>0</v>
      </c>
      <c r="D43" s="109">
        <f>Development!BP123</f>
        <v>0</v>
      </c>
      <c r="E43" s="109">
        <f>Operations!S50</f>
        <v>386.20071022450026</v>
      </c>
      <c r="F43" s="109">
        <f>Abandonment!G47</f>
        <v>0</v>
      </c>
      <c r="G43" s="109">
        <f t="shared" si="3"/>
        <v>0</v>
      </c>
      <c r="H43" s="109">
        <f t="shared" si="12"/>
        <v>386.20071022450026</v>
      </c>
      <c r="I43" s="109">
        <f t="shared" si="13"/>
        <v>-33548.750096567746</v>
      </c>
      <c r="J43" s="109">
        <f>IF(A43&lt;Development!$C$6,0,IF(A43=Development!C$6,Development!$D$6,IF(I43&lt;0,IF(I42&gt;0,ROUNDDOWN(-I42/(I43-I42)*12,0),0),12)))</f>
        <v>0</v>
      </c>
      <c r="K43" s="109">
        <f>IF(OR(A43&lt;Development!$C$6,A43&gt;Abandonment!$B$4),0,(J43*I42-(I42-I43)*J43*(J43+1)/24)/12)</f>
        <v>0</v>
      </c>
      <c r="L43" s="109">
        <f>$K43*(L$7+'Selected Economics'!$G42)</f>
        <v>0</v>
      </c>
      <c r="M43" s="109">
        <f>$K43*(M$7+'Selected Economics'!$G42)</f>
        <v>0</v>
      </c>
      <c r="N43" s="109">
        <f>$K43*(N$7+'Selected Economics'!$G42)</f>
        <v>0</v>
      </c>
      <c r="O43" s="109">
        <f t="shared" si="23"/>
        <v>-32459.47287459267</v>
      </c>
      <c r="P43" s="109">
        <f t="shared" si="23"/>
        <v>-30280.918430642516</v>
      </c>
      <c r="Q43" s="109">
        <f t="shared" si="23"/>
        <v>-26649.994357392265</v>
      </c>
      <c r="R43" s="109">
        <f>IF(A43=Production!$B$4,Production!$B$5,IF(A43&lt;Production!$B$4,0,12+R42))</f>
        <v>281</v>
      </c>
      <c r="S43" s="109">
        <f>MIN($R43,IF(O43&lt;0,MAX(IF(Input!$B$36="Yes",MIN(12,24-R42),0),IF(AND(O42&gt;0,O43&lt;0),ROUNDDOWN(-O42/(O43-O42)*12,0)+0.5),0),12))</f>
        <v>0</v>
      </c>
      <c r="T43" s="109">
        <f>MAX(0,MIN($R43,IF(P43&lt;0,MAX(IF(Input!$B$36="Yes",MIN(12,36-SUM(T$11:T42)),0),IF(AND(P42&gt;0,P43&lt;0),ROUNDDOWN(-P42/(P43-P42)*12,0)+0.5),0),12))-S43)</f>
        <v>0</v>
      </c>
      <c r="U43" s="109">
        <f>MAX(0,MIN($R43,IF(AND(Q42&gt;0,Q43&lt;0),ROUNDDOWN(-Q42/(Q43-Q42)*12,0)+0.5,IF(AND(Q43&gt;0,MIN(Q$11:Q42)&gt;=0),12,0)))-SUM(S43:T43))</f>
        <v>0</v>
      </c>
      <c r="V43" s="109">
        <f t="shared" si="6"/>
        <v>12</v>
      </c>
      <c r="W43" s="109">
        <f t="shared" si="14"/>
        <v>-2.1766640360959855</v>
      </c>
      <c r="X43" s="109">
        <f t="shared" si="15"/>
        <v>7.6804809237680853</v>
      </c>
      <c r="Y43" s="109">
        <f t="shared" si="7"/>
        <v>19.201202309420214</v>
      </c>
      <c r="Z43" s="109">
        <f t="shared" si="16"/>
        <v>19.201202309420214</v>
      </c>
      <c r="AA43" s="109">
        <f t="shared" si="8"/>
        <v>19.201202309420214</v>
      </c>
      <c r="AB43" s="109">
        <f t="shared" si="17"/>
        <v>0</v>
      </c>
      <c r="AC43" s="109">
        <f t="shared" si="9"/>
        <v>0</v>
      </c>
      <c r="AD43" s="109">
        <f t="shared" si="9"/>
        <v>0</v>
      </c>
      <c r="AE43" s="109">
        <f t="shared" si="9"/>
        <v>19.201202309420214</v>
      </c>
      <c r="AF43" s="109">
        <f t="shared" si="18"/>
        <v>19.201202309420214</v>
      </c>
      <c r="AG43" s="109">
        <f>IF(A43=Abandonment!$B$4,-W43,0)</f>
        <v>0</v>
      </c>
      <c r="AH43" s="109">
        <f t="shared" si="19"/>
        <v>0</v>
      </c>
      <c r="AI43" s="109">
        <f>MIN(AH43,MAX(0,$AL$3-SUM(AI44:AI$52)))</f>
        <v>0</v>
      </c>
      <c r="AJ43" s="109">
        <f t="shared" si="22"/>
        <v>19.201202309420214</v>
      </c>
      <c r="AK43" s="109">
        <f t="shared" si="10"/>
        <v>0</v>
      </c>
      <c r="AL43" s="109">
        <f>IF($A43=Abandonment!$B$4,LossRec,0)</f>
        <v>0</v>
      </c>
      <c r="AM43" s="109">
        <f t="shared" si="11"/>
        <v>19.201202309420214</v>
      </c>
      <c r="AN43" s="64"/>
      <c r="AO43" s="64"/>
      <c r="AP43" s="64"/>
      <c r="AQ43" s="184">
        <f t="shared" si="21"/>
        <v>48761</v>
      </c>
      <c r="AR43" s="184">
        <f>IF(AND(O43&lt;0,O42&gt;0,AR42=0),DATE($A43,MAX(12-$R43,0)+SUM($S43:S43)+0.5,1),AR42)</f>
        <v>48853</v>
      </c>
      <c r="AS43" s="184">
        <f>IF(AND(P43&lt;0,P42&gt;0,AS42=0),DATE($A43,MAX(12-$R43,0)+SUM($S43:T43)+0.5,1),AS42)</f>
        <v>49065</v>
      </c>
      <c r="AT43" s="184">
        <f>IF(AND(Q43&lt;0,Q42&gt;0,AT42=0),DATE($A43,MAX(12-$R43,0)+SUM($S43:U43)+0.5,1),AT42)</f>
        <v>49369</v>
      </c>
      <c r="AU43" s="64"/>
      <c r="AV43" s="64"/>
      <c r="AW43" s="64"/>
      <c r="AX43" s="64"/>
      <c r="AY43" s="64"/>
      <c r="AZ43" s="64"/>
      <c r="BA43" s="64"/>
      <c r="BB43" s="64"/>
    </row>
    <row r="44" spans="1:54">
      <c r="A44" s="90">
        <f t="shared" si="20"/>
        <v>2055</v>
      </c>
      <c r="B44" s="109">
        <f>'Success Cash Flow'!E42</f>
        <v>0</v>
      </c>
      <c r="C44" s="109">
        <f>IF(noteco=Lists!A$85,0,Exploration!AB69)</f>
        <v>0</v>
      </c>
      <c r="D44" s="109">
        <f>Development!BP124</f>
        <v>0</v>
      </c>
      <c r="E44" s="109">
        <f>Operations!S51</f>
        <v>0</v>
      </c>
      <c r="F44" s="109">
        <f>Abandonment!G48</f>
        <v>529.6306607920867</v>
      </c>
      <c r="G44" s="109">
        <f t="shared" si="3"/>
        <v>0</v>
      </c>
      <c r="H44" s="109">
        <f t="shared" si="12"/>
        <v>529.6306607920867</v>
      </c>
      <c r="I44" s="109">
        <f t="shared" si="13"/>
        <v>-33019.119435775661</v>
      </c>
      <c r="J44" s="109">
        <f>IF(A44&lt;Development!$C$6,0,IF(A44=Development!C$6,Development!$D$6,IF(I44&lt;0,IF(I43&gt;0,ROUNDDOWN(-I43/(I44-I43)*12,0),0),12)))</f>
        <v>0</v>
      </c>
      <c r="K44" s="109">
        <f>IF(OR(A44&lt;Development!$C$6,A44&gt;Abandonment!$B$4),0,(J44*I43-(I43-I44)*J44*(J44+1)/24)/12)</f>
        <v>0</v>
      </c>
      <c r="L44" s="109">
        <f>$K44*(L$7+'Selected Economics'!$G43)</f>
        <v>0</v>
      </c>
      <c r="M44" s="109">
        <f>$K44*(M$7+'Selected Economics'!$G43)</f>
        <v>0</v>
      </c>
      <c r="N44" s="109">
        <f>$K44*(N$7+'Selected Economics'!$G43)</f>
        <v>0</v>
      </c>
      <c r="O44" s="109">
        <f t="shared" si="23"/>
        <v>-31929.842213800584</v>
      </c>
      <c r="P44" s="109">
        <f t="shared" si="23"/>
        <v>-29751.287769850431</v>
      </c>
      <c r="Q44" s="109">
        <f t="shared" si="23"/>
        <v>-26120.36369660018</v>
      </c>
      <c r="R44" s="109">
        <f>IF(A44=Production!$B$4,Production!$B$5,IF(A44&lt;Production!$B$4,0,12+R43))</f>
        <v>293</v>
      </c>
      <c r="S44" s="109">
        <f>MIN($R44,IF(O44&lt;0,MAX(IF(Input!$B$36="Yes",MIN(12,24-R43),0),IF(AND(O43&gt;0,O44&lt;0),ROUNDDOWN(-O43/(O44-O43)*12,0)+0.5),0),12))</f>
        <v>0</v>
      </c>
      <c r="T44" s="109">
        <f>MAX(0,MIN($R44,IF(P44&lt;0,MAX(IF(Input!$B$36="Yes",MIN(12,36-SUM(T$11:T43)),0),IF(AND(P43&gt;0,P44&lt;0),ROUNDDOWN(-P43/(P44-P43)*12,0)+0.5),0),12))-S44)</f>
        <v>0</v>
      </c>
      <c r="U44" s="109">
        <f>MAX(0,MIN($R44,IF(AND(Q43&gt;0,Q44&lt;0),ROUNDDOWN(-Q43/(Q44-Q43)*12,0)+0.5,IF(AND(Q44&gt;0,MIN(Q$11:Q43)&gt;=0),12,0)))-SUM(S44:T44))</f>
        <v>0</v>
      </c>
      <c r="V44" s="109">
        <f t="shared" si="6"/>
        <v>12</v>
      </c>
      <c r="W44" s="109">
        <f t="shared" si="14"/>
        <v>-529.6306607920867</v>
      </c>
      <c r="X44" s="109">
        <f t="shared" si="15"/>
        <v>0</v>
      </c>
      <c r="Y44" s="109">
        <f t="shared" si="7"/>
        <v>0</v>
      </c>
      <c r="Z44" s="109">
        <f t="shared" si="16"/>
        <v>0</v>
      </c>
      <c r="AA44" s="109">
        <f t="shared" si="8"/>
        <v>0</v>
      </c>
      <c r="AB44" s="109">
        <f t="shared" si="17"/>
        <v>0</v>
      </c>
      <c r="AC44" s="109">
        <f t="shared" si="9"/>
        <v>0</v>
      </c>
      <c r="AD44" s="109">
        <f t="shared" si="9"/>
        <v>0</v>
      </c>
      <c r="AE44" s="109">
        <f t="shared" si="9"/>
        <v>0</v>
      </c>
      <c r="AF44" s="109">
        <f t="shared" si="18"/>
        <v>0</v>
      </c>
      <c r="AG44" s="109">
        <f>IF(A44=Abandonment!$B$4,-W44,0)</f>
        <v>529.6306607920867</v>
      </c>
      <c r="AH44" s="109">
        <f t="shared" si="19"/>
        <v>0</v>
      </c>
      <c r="AI44" s="109">
        <f>MIN(AH44,MAX(0,$AL$3-SUM(AI45:AI$52)))</f>
        <v>0</v>
      </c>
      <c r="AJ44" s="109">
        <f t="shared" si="22"/>
        <v>0</v>
      </c>
      <c r="AK44" s="109">
        <f t="shared" si="10"/>
        <v>0</v>
      </c>
      <c r="AL44" s="109">
        <f>IF($A44=Abandonment!$B$4,LossRec,0)</f>
        <v>111.12391802903301</v>
      </c>
      <c r="AM44" s="109">
        <f t="shared" si="11"/>
        <v>-111.12391802903301</v>
      </c>
      <c r="AN44" s="64"/>
      <c r="AO44" s="64"/>
      <c r="AP44" s="64"/>
      <c r="AQ44" s="184">
        <f t="shared" si="21"/>
        <v>48761</v>
      </c>
      <c r="AR44" s="184">
        <f>IF(AND(O44&lt;0,O43&gt;0,AR43=0),DATE($A44,MAX(12-$R44,0)+SUM($S44:S44)+0.5,1),AR43)</f>
        <v>48853</v>
      </c>
      <c r="AS44" s="184">
        <f>IF(AND(P44&lt;0,P43&gt;0,AS43=0),DATE($A44,MAX(12-$R44,0)+SUM($S44:T44)+0.5,1),AS43)</f>
        <v>49065</v>
      </c>
      <c r="AT44" s="184">
        <f>IF(AND(Q44&lt;0,Q43&gt;0,AT43=0),DATE($A44,MAX(12-$R44,0)+SUM($S44:U44)+0.5,1),AT43)</f>
        <v>49369</v>
      </c>
      <c r="AU44" s="64"/>
      <c r="AV44" s="64"/>
      <c r="AW44" s="64"/>
      <c r="AX44" s="64"/>
      <c r="AY44" s="64"/>
      <c r="AZ44" s="64"/>
      <c r="BA44" s="64"/>
      <c r="BB44" s="64"/>
    </row>
    <row r="45" spans="1:54">
      <c r="A45" s="90">
        <f t="shared" si="20"/>
        <v>2056</v>
      </c>
      <c r="B45" s="109">
        <f>'Success Cash Flow'!E43</f>
        <v>0</v>
      </c>
      <c r="C45" s="109">
        <f>IF(noteco=Lists!A$85,0,Exploration!AB70)</f>
        <v>0</v>
      </c>
      <c r="D45" s="109">
        <f>Development!BP125</f>
        <v>0</v>
      </c>
      <c r="E45" s="109">
        <f>Operations!S52</f>
        <v>0</v>
      </c>
      <c r="F45" s="109">
        <f>Abandonment!G49</f>
        <v>0</v>
      </c>
      <c r="G45" s="109">
        <f t="shared" si="3"/>
        <v>0</v>
      </c>
      <c r="H45" s="109">
        <f t="shared" si="12"/>
        <v>0</v>
      </c>
      <c r="I45" s="109">
        <f t="shared" si="13"/>
        <v>-33019.119435775661</v>
      </c>
      <c r="J45" s="109">
        <f>IF(A45&lt;Development!$C$6,0,IF(A45=Development!C$6,Development!$D$6,IF(I45&lt;0,IF(I44&gt;0,ROUNDDOWN(-I44/(I45-I44)*12,0),0),12)))</f>
        <v>0</v>
      </c>
      <c r="K45" s="109">
        <f>IF(OR(A45&lt;Development!$C$6,A45&gt;Abandonment!$B$4),0,(J45*I44-(I44-I45)*J45*(J45+1)/24)/12)</f>
        <v>0</v>
      </c>
      <c r="L45" s="109">
        <f>$K45*(L$7+'Selected Economics'!$G44)</f>
        <v>0</v>
      </c>
      <c r="M45" s="109">
        <f>$K45*(M$7+'Selected Economics'!$G44)</f>
        <v>0</v>
      </c>
      <c r="N45" s="109">
        <f>$K45*(N$7+'Selected Economics'!$G44)</f>
        <v>0</v>
      </c>
      <c r="O45" s="109">
        <f t="shared" ref="O45:Q51" si="24">$H45-$B45+L45+O44</f>
        <v>-31929.842213800584</v>
      </c>
      <c r="P45" s="109">
        <f t="shared" si="24"/>
        <v>-29751.287769850431</v>
      </c>
      <c r="Q45" s="109">
        <f t="shared" si="24"/>
        <v>-26120.36369660018</v>
      </c>
      <c r="R45" s="109">
        <f>IF(A45=Production!$B$4,Production!$B$5,IF(A45&lt;Production!$B$4,0,12+R44))</f>
        <v>305</v>
      </c>
      <c r="S45" s="109">
        <f>MIN($R45,IF(O45&lt;0,MAX(IF(Input!$B$36="Yes",MIN(12,24-R44),0),IF(AND(O44&gt;0,O45&lt;0),ROUNDDOWN(-O44/(O45-O44)*12,0)+0.5),0),12))</f>
        <v>0</v>
      </c>
      <c r="T45" s="109">
        <f>MAX(0,MIN($R45,IF(P45&lt;0,MAX(IF(Input!$B$36="Yes",MIN(12,36-SUM(T$11:T44)),0),IF(AND(P44&gt;0,P45&lt;0),ROUNDDOWN(-P44/(P45-P44)*12,0)+0.5),0),12))-S45)</f>
        <v>0</v>
      </c>
      <c r="U45" s="109">
        <f>MAX(0,MIN($R45,IF(AND(Q44&gt;0,Q45&lt;0),ROUNDDOWN(-Q44/(Q45-Q44)*12,0)+0.5,IF(AND(Q45&gt;0,MIN(Q$11:Q44)&gt;=0),12,0)))-SUM(S45:T45))</f>
        <v>0</v>
      </c>
      <c r="V45" s="109">
        <f t="shared" si="6"/>
        <v>12</v>
      </c>
      <c r="W45" s="109">
        <f t="shared" si="14"/>
        <v>0</v>
      </c>
      <c r="X45" s="109">
        <f t="shared" si="15"/>
        <v>0</v>
      </c>
      <c r="Y45" s="109">
        <f t="shared" si="7"/>
        <v>0</v>
      </c>
      <c r="Z45" s="109">
        <f t="shared" si="16"/>
        <v>0</v>
      </c>
      <c r="AA45" s="109">
        <f t="shared" si="8"/>
        <v>0</v>
      </c>
      <c r="AB45" s="109">
        <f t="shared" si="17"/>
        <v>0</v>
      </c>
      <c r="AC45" s="109">
        <f t="shared" si="9"/>
        <v>0</v>
      </c>
      <c r="AD45" s="109">
        <f t="shared" si="9"/>
        <v>0</v>
      </c>
      <c r="AE45" s="109">
        <f t="shared" si="9"/>
        <v>0</v>
      </c>
      <c r="AF45" s="109">
        <f t="shared" si="18"/>
        <v>0</v>
      </c>
      <c r="AG45" s="109">
        <f>IF(A45=Abandonment!$B$4,-W45,0)</f>
        <v>0</v>
      </c>
      <c r="AH45" s="109">
        <f t="shared" si="19"/>
        <v>0</v>
      </c>
      <c r="AI45" s="109">
        <f>MIN(AH45,MAX(0,$AL$3-SUM(AI46:AI$52)))</f>
        <v>0</v>
      </c>
      <c r="AJ45" s="109">
        <f t="shared" si="22"/>
        <v>0</v>
      </c>
      <c r="AK45" s="109">
        <f t="shared" si="10"/>
        <v>0</v>
      </c>
      <c r="AL45" s="109">
        <f>IF($A45=Abandonment!$B$4,LossRec,0)</f>
        <v>0</v>
      </c>
      <c r="AM45" s="109">
        <f t="shared" si="11"/>
        <v>0</v>
      </c>
      <c r="AN45" s="64"/>
      <c r="AO45" s="64"/>
      <c r="AP45" s="64"/>
      <c r="AQ45" s="184">
        <f t="shared" si="21"/>
        <v>48761</v>
      </c>
      <c r="AR45" s="184">
        <f>IF(AND(O45&lt;0,O44&gt;0,AR44=0),DATE($A45,MAX(12-$R45,0)+SUM($S45:S45)+0.5,1),AR44)</f>
        <v>48853</v>
      </c>
      <c r="AS45" s="184">
        <f>IF(AND(P45&lt;0,P44&gt;0,AS44=0),DATE($A45,MAX(12-$R45,0)+SUM($S45:T45)+0.5,1),AS44)</f>
        <v>49065</v>
      </c>
      <c r="AT45" s="184">
        <f>IF(AND(Q45&lt;0,Q44&gt;0,AT44=0),DATE($A45,MAX(12-$R45,0)+SUM($S45:U45)+0.5,1),AT44)</f>
        <v>49369</v>
      </c>
      <c r="AU45" s="64"/>
      <c r="AV45" s="64"/>
      <c r="AW45" s="64"/>
      <c r="AX45" s="64"/>
      <c r="AY45" s="64"/>
      <c r="AZ45" s="64"/>
      <c r="BA45" s="64"/>
      <c r="BB45" s="64"/>
    </row>
    <row r="46" spans="1:54">
      <c r="A46" s="90">
        <f t="shared" si="20"/>
        <v>2057</v>
      </c>
      <c r="B46" s="109">
        <f>'Success Cash Flow'!E44</f>
        <v>0</v>
      </c>
      <c r="C46" s="109">
        <f>IF(noteco=Lists!A$85,0,Exploration!AB71)</f>
        <v>0</v>
      </c>
      <c r="D46" s="109">
        <f>Development!BP126</f>
        <v>0</v>
      </c>
      <c r="E46" s="109">
        <f>Operations!S53</f>
        <v>0</v>
      </c>
      <c r="F46" s="109">
        <f>Abandonment!G50</f>
        <v>0</v>
      </c>
      <c r="G46" s="109">
        <f t="shared" si="3"/>
        <v>0</v>
      </c>
      <c r="H46" s="109">
        <f t="shared" si="12"/>
        <v>0</v>
      </c>
      <c r="I46" s="109">
        <f t="shared" si="13"/>
        <v>-33019.119435775661</v>
      </c>
      <c r="J46" s="109">
        <f>IF(A46&lt;Development!$C$6,0,IF(A46=Development!C$6,Development!$D$6,IF(I46&lt;0,IF(I45&gt;0,ROUNDDOWN(-I45/(I46-I45)*12,0),0),12)))</f>
        <v>0</v>
      </c>
      <c r="K46" s="109">
        <f>IF(OR(A46&lt;Development!$C$6,A46&gt;Abandonment!$B$4),0,(J46*I45-(I45-I46)*J46*(J46+1)/24)/12)</f>
        <v>0</v>
      </c>
      <c r="L46" s="109">
        <f>$K46*(L$7+'Selected Economics'!$G45)</f>
        <v>0</v>
      </c>
      <c r="M46" s="109">
        <f>$K46*(M$7+'Selected Economics'!$G45)</f>
        <v>0</v>
      </c>
      <c r="N46" s="109">
        <f>$K46*(N$7+'Selected Economics'!$G45)</f>
        <v>0</v>
      </c>
      <c r="O46" s="109">
        <f t="shared" si="24"/>
        <v>-31929.842213800584</v>
      </c>
      <c r="P46" s="109">
        <f t="shared" si="24"/>
        <v>-29751.287769850431</v>
      </c>
      <c r="Q46" s="109">
        <f t="shared" si="24"/>
        <v>-26120.36369660018</v>
      </c>
      <c r="R46" s="109">
        <f>IF(A46=Production!$B$4,Production!$B$5,IF(A46&lt;Production!$B$4,0,12+R45))</f>
        <v>317</v>
      </c>
      <c r="S46" s="109">
        <f>MIN($R46,IF(O46&lt;0,MAX(IF(Input!$B$36="Yes",MIN(12,24-R45),0),IF(AND(O45&gt;0,O46&lt;0),ROUNDDOWN(-O45/(O46-O45)*12,0)+0.5),0),12))</f>
        <v>0</v>
      </c>
      <c r="T46" s="109">
        <f>MAX(0,MIN($R46,IF(P46&lt;0,MAX(IF(Input!$B$36="Yes",MIN(12,36-SUM(T$11:T45)),0),IF(AND(P45&gt;0,P46&lt;0),ROUNDDOWN(-P45/(P46-P45)*12,0)+0.5),0),12))-S46)</f>
        <v>0</v>
      </c>
      <c r="U46" s="109">
        <f>MAX(0,MIN($R46,IF(AND(Q45&gt;0,Q46&lt;0),ROUNDDOWN(-Q45/(Q46-Q45)*12,0)+0.5,IF(AND(Q46&gt;0,MIN(Q$11:Q45)&gt;=0),12,0)))-SUM(S46:T46))</f>
        <v>0</v>
      </c>
      <c r="V46" s="109">
        <f t="shared" si="6"/>
        <v>12</v>
      </c>
      <c r="W46" s="109">
        <f t="shared" si="14"/>
        <v>0</v>
      </c>
      <c r="X46" s="109">
        <f t="shared" si="15"/>
        <v>0</v>
      </c>
      <c r="Y46" s="109">
        <f t="shared" si="7"/>
        <v>0</v>
      </c>
      <c r="Z46" s="109">
        <f t="shared" si="16"/>
        <v>0</v>
      </c>
      <c r="AA46" s="109">
        <f t="shared" si="8"/>
        <v>0</v>
      </c>
      <c r="AB46" s="109">
        <f t="shared" si="17"/>
        <v>0</v>
      </c>
      <c r="AC46" s="109">
        <f t="shared" si="9"/>
        <v>0</v>
      </c>
      <c r="AD46" s="109">
        <f t="shared" si="9"/>
        <v>0</v>
      </c>
      <c r="AE46" s="109">
        <f t="shared" si="9"/>
        <v>0</v>
      </c>
      <c r="AF46" s="109">
        <f t="shared" si="18"/>
        <v>0</v>
      </c>
      <c r="AG46" s="109">
        <f>IF(A46=Abandonment!$B$4,-W46,0)</f>
        <v>0</v>
      </c>
      <c r="AH46" s="109">
        <f t="shared" si="19"/>
        <v>0</v>
      </c>
      <c r="AI46" s="109">
        <f>MIN(AH46,MAX(0,$AL$3-SUM(AI47:AI$52)))</f>
        <v>0</v>
      </c>
      <c r="AJ46" s="109">
        <f t="shared" si="22"/>
        <v>0</v>
      </c>
      <c r="AK46" s="109">
        <f t="shared" si="10"/>
        <v>0</v>
      </c>
      <c r="AL46" s="109">
        <f>IF($A46=Abandonment!$B$4,LossRec,0)</f>
        <v>0</v>
      </c>
      <c r="AM46" s="109">
        <f t="shared" si="11"/>
        <v>0</v>
      </c>
      <c r="AN46" s="64"/>
      <c r="AO46" s="64"/>
      <c r="AP46" s="64"/>
      <c r="AQ46" s="184">
        <f t="shared" si="21"/>
        <v>48761</v>
      </c>
      <c r="AR46" s="184">
        <f>IF(AND(O46&lt;0,O45&gt;0,AR45=0),DATE($A46,MAX(12-$R46,0)+SUM($S46:S46)+0.5,1),AR45)</f>
        <v>48853</v>
      </c>
      <c r="AS46" s="184">
        <f>IF(AND(P46&lt;0,P45&gt;0,AS45=0),DATE($A46,MAX(12-$R46,0)+SUM($S46:T46)+0.5,1),AS45)</f>
        <v>49065</v>
      </c>
      <c r="AT46" s="184">
        <f>IF(AND(Q46&lt;0,Q45&gt;0,AT45=0),DATE($A46,MAX(12-$R46,0)+SUM($S46:U46)+0.5,1),AT45)</f>
        <v>49369</v>
      </c>
      <c r="AU46" s="64"/>
      <c r="AV46" s="64"/>
      <c r="AW46" s="64"/>
      <c r="AX46" s="64"/>
      <c r="AY46" s="64"/>
      <c r="AZ46" s="64"/>
      <c r="BA46" s="64"/>
      <c r="BB46" s="64"/>
    </row>
    <row r="47" spans="1:54">
      <c r="A47" s="90">
        <f t="shared" si="20"/>
        <v>2058</v>
      </c>
      <c r="B47" s="109">
        <f>'Success Cash Flow'!E45</f>
        <v>0</v>
      </c>
      <c r="C47" s="109">
        <f>IF(noteco=Lists!A$85,0,Exploration!AB72)</f>
        <v>0</v>
      </c>
      <c r="D47" s="109">
        <f>Development!BP127</f>
        <v>0</v>
      </c>
      <c r="E47" s="109">
        <f>Operations!S54</f>
        <v>0</v>
      </c>
      <c r="F47" s="109">
        <f>Abandonment!G51</f>
        <v>0</v>
      </c>
      <c r="G47" s="109">
        <f t="shared" si="3"/>
        <v>0</v>
      </c>
      <c r="H47" s="109">
        <f t="shared" si="12"/>
        <v>0</v>
      </c>
      <c r="I47" s="109">
        <f t="shared" si="13"/>
        <v>-33019.119435775661</v>
      </c>
      <c r="J47" s="109">
        <f>IF(A47&lt;Development!$C$6,0,IF(A47=Development!C$6,Development!$D$6,IF(I47&lt;0,IF(I46&gt;0,ROUNDDOWN(-I46/(I47-I46)*12,0),0),12)))</f>
        <v>0</v>
      </c>
      <c r="K47" s="109">
        <f>IF(OR(A47&lt;Development!$C$6,A47&gt;Abandonment!$B$4),0,(J47*I46-(I46-I47)*J47*(J47+1)/24)/12)</f>
        <v>0</v>
      </c>
      <c r="L47" s="109">
        <f>$K47*(L$7+'Selected Economics'!$G46)</f>
        <v>0</v>
      </c>
      <c r="M47" s="109">
        <f>$K47*(M$7+'Selected Economics'!$G46)</f>
        <v>0</v>
      </c>
      <c r="N47" s="109">
        <f>$K47*(N$7+'Selected Economics'!$G46)</f>
        <v>0</v>
      </c>
      <c r="O47" s="109">
        <f t="shared" si="24"/>
        <v>-31929.842213800584</v>
      </c>
      <c r="P47" s="109">
        <f t="shared" si="24"/>
        <v>-29751.287769850431</v>
      </c>
      <c r="Q47" s="109">
        <f t="shared" si="24"/>
        <v>-26120.36369660018</v>
      </c>
      <c r="R47" s="109">
        <f>IF(A47=Production!$B$4,Production!$B$5,IF(A47&lt;Production!$B$4,0,12+R46))</f>
        <v>329</v>
      </c>
      <c r="S47" s="109">
        <f>MIN($R47,IF(O47&lt;0,MAX(IF(Input!$B$36="Yes",MIN(12,24-R46),0),IF(AND(O46&gt;0,O47&lt;0),ROUNDDOWN(-O46/(O47-O46)*12,0)+0.5),0),12))</f>
        <v>0</v>
      </c>
      <c r="T47" s="109">
        <f>MAX(0,MIN($R47,IF(P47&lt;0,MAX(IF(Input!$B$36="Yes",MIN(12,36-SUM(T$11:T46)),0),IF(AND(P46&gt;0,P47&lt;0),ROUNDDOWN(-P46/(P47-P46)*12,0)+0.5),0),12))-S47)</f>
        <v>0</v>
      </c>
      <c r="U47" s="109">
        <f>MAX(0,MIN($R47,IF(AND(Q46&gt;0,Q47&lt;0),ROUNDDOWN(-Q46/(Q47-Q46)*12,0)+0.5,IF(AND(Q47&gt;0,MIN(Q$11:Q46)&gt;=0),12,0)))-SUM(S47:T47))</f>
        <v>0</v>
      </c>
      <c r="V47" s="109">
        <f t="shared" si="6"/>
        <v>12</v>
      </c>
      <c r="W47" s="109">
        <f t="shared" si="14"/>
        <v>0</v>
      </c>
      <c r="X47" s="109">
        <f t="shared" si="15"/>
        <v>0</v>
      </c>
      <c r="Y47" s="109">
        <f t="shared" si="7"/>
        <v>0</v>
      </c>
      <c r="Z47" s="109">
        <f t="shared" si="16"/>
        <v>0</v>
      </c>
      <c r="AA47" s="109">
        <f t="shared" si="8"/>
        <v>0</v>
      </c>
      <c r="AB47" s="109">
        <f t="shared" si="17"/>
        <v>0</v>
      </c>
      <c r="AC47" s="109">
        <f t="shared" si="9"/>
        <v>0</v>
      </c>
      <c r="AD47" s="109">
        <f t="shared" si="9"/>
        <v>0</v>
      </c>
      <c r="AE47" s="109">
        <f t="shared" si="9"/>
        <v>0</v>
      </c>
      <c r="AF47" s="109">
        <f t="shared" si="18"/>
        <v>0</v>
      </c>
      <c r="AG47" s="109">
        <f>IF(A47=Abandonment!$B$4,-W47,0)</f>
        <v>0</v>
      </c>
      <c r="AH47" s="109">
        <f t="shared" si="19"/>
        <v>0</v>
      </c>
      <c r="AI47" s="109">
        <f>MIN(AH47,MAX(0,$AL$3-SUM(AI48:AI$52)))</f>
        <v>0</v>
      </c>
      <c r="AJ47" s="109">
        <f t="shared" si="22"/>
        <v>0</v>
      </c>
      <c r="AK47" s="109">
        <f t="shared" si="10"/>
        <v>0</v>
      </c>
      <c r="AL47" s="109">
        <f>IF($A47=Abandonment!$B$4,LossRec,0)</f>
        <v>0</v>
      </c>
      <c r="AM47" s="109">
        <f t="shared" si="11"/>
        <v>0</v>
      </c>
      <c r="AN47" s="64"/>
      <c r="AO47" s="64"/>
      <c r="AP47" s="64"/>
      <c r="AQ47" s="184">
        <f t="shared" si="21"/>
        <v>48761</v>
      </c>
      <c r="AR47" s="184">
        <f>IF(AND(O47&lt;0,O46&gt;0,AR46=0),DATE($A47,MAX(12-$R47,0)+SUM($S47:S47)+0.5,1),AR46)</f>
        <v>48853</v>
      </c>
      <c r="AS47" s="184">
        <f>IF(AND(P47&lt;0,P46&gt;0,AS46=0),DATE($A47,MAX(12-$R47,0)+SUM($S47:T47)+0.5,1),AS46)</f>
        <v>49065</v>
      </c>
      <c r="AT47" s="184">
        <f>IF(AND(Q47&lt;0,Q46&gt;0,AT46=0),DATE($A47,MAX(12-$R47,0)+SUM($S47:U47)+0.5,1),AT46)</f>
        <v>49369</v>
      </c>
      <c r="AU47" s="64"/>
      <c r="AV47" s="64"/>
      <c r="AW47" s="64"/>
      <c r="AX47" s="64"/>
      <c r="AY47" s="64"/>
      <c r="AZ47" s="64"/>
      <c r="BA47" s="64"/>
      <c r="BB47" s="64"/>
    </row>
    <row r="48" spans="1:54">
      <c r="A48" s="90">
        <f t="shared" si="20"/>
        <v>2059</v>
      </c>
      <c r="B48" s="109">
        <f>'Success Cash Flow'!E46</f>
        <v>0</v>
      </c>
      <c r="C48" s="109">
        <f>IF(noteco=Lists!A$85,0,Exploration!AB73)</f>
        <v>0</v>
      </c>
      <c r="D48" s="109">
        <f>Development!BP128</f>
        <v>0</v>
      </c>
      <c r="E48" s="109">
        <f>Operations!S55</f>
        <v>0</v>
      </c>
      <c r="F48" s="109">
        <f>Abandonment!G52</f>
        <v>0</v>
      </c>
      <c r="G48" s="109">
        <f t="shared" si="3"/>
        <v>0</v>
      </c>
      <c r="H48" s="109">
        <f t="shared" si="12"/>
        <v>0</v>
      </c>
      <c r="I48" s="109">
        <f t="shared" si="13"/>
        <v>-33019.119435775661</v>
      </c>
      <c r="J48" s="109">
        <f>IF(A48&lt;Development!$C$6,0,IF(A48=Development!C$6,Development!$D$6,IF(I48&lt;0,IF(I47&gt;0,ROUNDDOWN(-I47/(I48-I47)*12,0),0),12)))</f>
        <v>0</v>
      </c>
      <c r="K48" s="109">
        <f>IF(OR(A48&lt;Development!$C$6,A48&gt;Abandonment!$B$4),0,(J48*I47-(I47-I48)*J48*(J48+1)/24)/12)</f>
        <v>0</v>
      </c>
      <c r="L48" s="109">
        <f>$K48*(L$7+'Selected Economics'!$G47)</f>
        <v>0</v>
      </c>
      <c r="M48" s="109">
        <f>$K48*(M$7+'Selected Economics'!$G47)</f>
        <v>0</v>
      </c>
      <c r="N48" s="109">
        <f>$K48*(N$7+'Selected Economics'!$G47)</f>
        <v>0</v>
      </c>
      <c r="O48" s="109">
        <f t="shared" si="24"/>
        <v>-31929.842213800584</v>
      </c>
      <c r="P48" s="109">
        <f t="shared" si="24"/>
        <v>-29751.287769850431</v>
      </c>
      <c r="Q48" s="109">
        <f t="shared" si="24"/>
        <v>-26120.36369660018</v>
      </c>
      <c r="R48" s="109">
        <f>IF(A48=Production!$B$4,Production!$B$5,IF(A48&lt;Production!$B$4,0,12+R47))</f>
        <v>341</v>
      </c>
      <c r="S48" s="109">
        <f>MIN($R48,IF(O48&lt;0,MAX(IF(Input!$B$36="Yes",MIN(12,24-R47),0),IF(AND(O47&gt;0,O48&lt;0),ROUNDDOWN(-O47/(O48-O47)*12,0)+0.5),0),12))</f>
        <v>0</v>
      </c>
      <c r="T48" s="109">
        <f>MAX(0,MIN($R48,IF(P48&lt;0,MAX(IF(Input!$B$36="Yes",MIN(12,36-SUM(T$11:T47)),0),IF(AND(P47&gt;0,P48&lt;0),ROUNDDOWN(-P47/(P48-P47)*12,0)+0.5),0),12))-S48)</f>
        <v>0</v>
      </c>
      <c r="U48" s="109">
        <f>MAX(0,MIN($R48,IF(AND(Q47&gt;0,Q48&lt;0),ROUNDDOWN(-Q47/(Q48-Q47)*12,0)+0.5,IF(AND(Q48&gt;0,MIN(Q$11:Q47)&gt;=0),12,0)))-SUM(S48:T48))</f>
        <v>0</v>
      </c>
      <c r="V48" s="109">
        <f t="shared" si="6"/>
        <v>12</v>
      </c>
      <c r="W48" s="109">
        <f t="shared" si="14"/>
        <v>0</v>
      </c>
      <c r="X48" s="109">
        <f t="shared" si="15"/>
        <v>0</v>
      </c>
      <c r="Y48" s="109">
        <f t="shared" si="7"/>
        <v>0</v>
      </c>
      <c r="Z48" s="109">
        <f t="shared" si="16"/>
        <v>0</v>
      </c>
      <c r="AA48" s="109">
        <f t="shared" si="8"/>
        <v>0</v>
      </c>
      <c r="AB48" s="109">
        <f t="shared" si="17"/>
        <v>0</v>
      </c>
      <c r="AC48" s="109">
        <f t="shared" si="9"/>
        <v>0</v>
      </c>
      <c r="AD48" s="109">
        <f t="shared" si="9"/>
        <v>0</v>
      </c>
      <c r="AE48" s="109">
        <f t="shared" si="9"/>
        <v>0</v>
      </c>
      <c r="AF48" s="109">
        <f t="shared" si="18"/>
        <v>0</v>
      </c>
      <c r="AG48" s="109">
        <f>IF(A48=Abandonment!$B$4,-W48,0)</f>
        <v>0</v>
      </c>
      <c r="AH48" s="109">
        <f t="shared" si="19"/>
        <v>0</v>
      </c>
      <c r="AI48" s="109">
        <f>MIN(AH48,MAX(0,$AL$3-SUM(AI49:AI$52)))</f>
        <v>0</v>
      </c>
      <c r="AJ48" s="109">
        <f t="shared" si="22"/>
        <v>0</v>
      </c>
      <c r="AK48" s="109">
        <f t="shared" si="10"/>
        <v>0</v>
      </c>
      <c r="AL48" s="109">
        <f>IF($A48=Abandonment!$B$4,LossRec,0)</f>
        <v>0</v>
      </c>
      <c r="AM48" s="109">
        <f t="shared" si="11"/>
        <v>0</v>
      </c>
      <c r="AN48" s="64"/>
      <c r="AO48" s="64"/>
      <c r="AP48" s="64"/>
      <c r="AQ48" s="184">
        <f t="shared" si="21"/>
        <v>48761</v>
      </c>
      <c r="AR48" s="184">
        <f>IF(AND(O48&lt;0,O47&gt;0,AR47=0),DATE($A48,MAX(12-$R48,0)+SUM($S48:S48)+0.5,1),AR47)</f>
        <v>48853</v>
      </c>
      <c r="AS48" s="184">
        <f>IF(AND(P48&lt;0,P47&gt;0,AS47=0),DATE($A48,MAX(12-$R48,0)+SUM($S48:T48)+0.5,1),AS47)</f>
        <v>49065</v>
      </c>
      <c r="AT48" s="184">
        <f>IF(AND(Q48&lt;0,Q47&gt;0,AT47=0),DATE($A48,MAX(12-$R48,0)+SUM($S48:U48)+0.5,1),AT47)</f>
        <v>49369</v>
      </c>
      <c r="AU48" s="64"/>
      <c r="AV48" s="64"/>
      <c r="AW48" s="64"/>
      <c r="AX48" s="64"/>
      <c r="AY48" s="64"/>
      <c r="AZ48" s="64"/>
      <c r="BA48" s="64"/>
      <c r="BB48" s="64"/>
    </row>
    <row r="49" spans="1:54">
      <c r="A49" s="90">
        <f t="shared" si="20"/>
        <v>2060</v>
      </c>
      <c r="B49" s="109">
        <f>'Success Cash Flow'!E47</f>
        <v>0</v>
      </c>
      <c r="C49" s="109">
        <f>IF(noteco=Lists!A$85,0,Exploration!AB74)</f>
        <v>0</v>
      </c>
      <c r="D49" s="109">
        <f>Development!BP129</f>
        <v>0</v>
      </c>
      <c r="E49" s="109">
        <f>Operations!S56</f>
        <v>0</v>
      </c>
      <c r="F49" s="109">
        <f>Abandonment!G53</f>
        <v>0</v>
      </c>
      <c r="G49" s="109">
        <f t="shared" si="3"/>
        <v>0</v>
      </c>
      <c r="H49" s="109">
        <f t="shared" si="12"/>
        <v>0</v>
      </c>
      <c r="I49" s="109">
        <f t="shared" si="13"/>
        <v>-33019.119435775661</v>
      </c>
      <c r="J49" s="109">
        <f>IF(A49&lt;Development!$C$6,0,IF(A49=Development!C$6,Development!$D$6,IF(I49&lt;0,IF(I48&gt;0,ROUNDDOWN(-I48/(I49-I48)*12,0),0),12)))</f>
        <v>0</v>
      </c>
      <c r="K49" s="109">
        <f>IF(OR(A49&lt;Development!$C$6,A49&gt;Abandonment!$B$4),0,(J49*I48-(I48-I49)*J49*(J49+1)/24)/12)</f>
        <v>0</v>
      </c>
      <c r="L49" s="109">
        <f>$K49*(L$7+'Selected Economics'!$G48)</f>
        <v>0</v>
      </c>
      <c r="M49" s="109">
        <f>$K49*(M$7+'Selected Economics'!$G48)</f>
        <v>0</v>
      </c>
      <c r="N49" s="109">
        <f>$K49*(N$7+'Selected Economics'!$G48)</f>
        <v>0</v>
      </c>
      <c r="O49" s="109">
        <f t="shared" si="24"/>
        <v>-31929.842213800584</v>
      </c>
      <c r="P49" s="109">
        <f t="shared" si="24"/>
        <v>-29751.287769850431</v>
      </c>
      <c r="Q49" s="109">
        <f t="shared" si="24"/>
        <v>-26120.36369660018</v>
      </c>
      <c r="R49" s="109">
        <f>IF(A49=Production!$B$4,Production!$B$5,IF(A49&lt;Production!$B$4,0,12+R48))</f>
        <v>353</v>
      </c>
      <c r="S49" s="109">
        <f>MIN($R49,IF(O49&lt;0,MAX(IF(Input!$B$36="Yes",MIN(12,24-R48),0),IF(AND(O48&gt;0,O49&lt;0),ROUNDDOWN(-O48/(O49-O48)*12,0)+0.5),0),12))</f>
        <v>0</v>
      </c>
      <c r="T49" s="109">
        <f>MAX(0,MIN($R49,IF(P49&lt;0,MAX(IF(Input!$B$36="Yes",MIN(12,36-SUM(T$11:T48)),0),IF(AND(P48&gt;0,P49&lt;0),ROUNDDOWN(-P48/(P49-P48)*12,0)+0.5),0),12))-S49)</f>
        <v>0</v>
      </c>
      <c r="U49" s="109">
        <f>MAX(0,MIN($R49,IF(AND(Q48&gt;0,Q49&lt;0),ROUNDDOWN(-Q48/(Q49-Q48)*12,0)+0.5,IF(AND(Q49&gt;0,MIN(Q$11:Q48)&gt;=0),12,0)))-SUM(S49:T49))</f>
        <v>0</v>
      </c>
      <c r="V49" s="109">
        <f t="shared" si="6"/>
        <v>12</v>
      </c>
      <c r="W49" s="109">
        <f t="shared" si="14"/>
        <v>0</v>
      </c>
      <c r="X49" s="109">
        <f t="shared" si="15"/>
        <v>0</v>
      </c>
      <c r="Y49" s="109">
        <f t="shared" si="7"/>
        <v>0</v>
      </c>
      <c r="Z49" s="109">
        <f t="shared" si="16"/>
        <v>0</v>
      </c>
      <c r="AA49" s="109">
        <f t="shared" si="8"/>
        <v>0</v>
      </c>
      <c r="AB49" s="109">
        <f t="shared" si="17"/>
        <v>0</v>
      </c>
      <c r="AC49" s="109">
        <f t="shared" si="9"/>
        <v>0</v>
      </c>
      <c r="AD49" s="109">
        <f t="shared" si="9"/>
        <v>0</v>
      </c>
      <c r="AE49" s="109">
        <f t="shared" si="9"/>
        <v>0</v>
      </c>
      <c r="AF49" s="109">
        <f t="shared" si="18"/>
        <v>0</v>
      </c>
      <c r="AG49" s="109">
        <f>IF(A49=Abandonment!$B$4,-W49,0)</f>
        <v>0</v>
      </c>
      <c r="AH49" s="109">
        <f t="shared" si="19"/>
        <v>0</v>
      </c>
      <c r="AI49" s="109">
        <f>MIN(AH49,MAX(0,$AL$3-SUM(AI50:AI$52)))</f>
        <v>0</v>
      </c>
      <c r="AJ49" s="109">
        <f t="shared" si="22"/>
        <v>0</v>
      </c>
      <c r="AK49" s="109">
        <f t="shared" si="10"/>
        <v>0</v>
      </c>
      <c r="AL49" s="109">
        <f>IF($A49=Abandonment!$B$4,LossRec,0)</f>
        <v>0</v>
      </c>
      <c r="AM49" s="109">
        <f t="shared" si="11"/>
        <v>0</v>
      </c>
      <c r="AN49" s="64"/>
      <c r="AO49" s="64"/>
      <c r="AP49" s="64"/>
      <c r="AQ49" s="184">
        <f t="shared" si="21"/>
        <v>48761</v>
      </c>
      <c r="AR49" s="184">
        <f>IF(AND(O49&lt;0,O48&gt;0,AR48=0),DATE($A49,MAX(12-$R49,0)+SUM($S49:S49)+0.5,1),AR48)</f>
        <v>48853</v>
      </c>
      <c r="AS49" s="184">
        <f>IF(AND(P49&lt;0,P48&gt;0,AS48=0),DATE($A49,MAX(12-$R49,0)+SUM($S49:T49)+0.5,1),AS48)</f>
        <v>49065</v>
      </c>
      <c r="AT49" s="184">
        <f>IF(AND(Q49&lt;0,Q48&gt;0,AT48=0),DATE($A49,MAX(12-$R49,0)+SUM($S49:U49)+0.5,1),AT48)</f>
        <v>49369</v>
      </c>
      <c r="AU49" s="64"/>
      <c r="AV49" s="64"/>
      <c r="AW49" s="64"/>
      <c r="AX49" s="64"/>
      <c r="AY49" s="64"/>
      <c r="AZ49" s="64"/>
      <c r="BA49" s="64"/>
      <c r="BB49" s="64"/>
    </row>
    <row r="50" spans="1:54">
      <c r="A50" s="90">
        <f t="shared" si="20"/>
        <v>2061</v>
      </c>
      <c r="B50" s="109">
        <f>'Success Cash Flow'!E48</f>
        <v>0</v>
      </c>
      <c r="C50" s="109">
        <f>IF(noteco=Lists!A$85,0,Exploration!AB75)</f>
        <v>0</v>
      </c>
      <c r="D50" s="109">
        <f>Development!BP130</f>
        <v>0</v>
      </c>
      <c r="E50" s="109">
        <f>Operations!S57</f>
        <v>0</v>
      </c>
      <c r="F50" s="109">
        <f>Abandonment!G54</f>
        <v>0</v>
      </c>
      <c r="G50" s="109">
        <f t="shared" si="3"/>
        <v>0</v>
      </c>
      <c r="H50" s="109">
        <f t="shared" si="12"/>
        <v>0</v>
      </c>
      <c r="I50" s="109">
        <f t="shared" si="13"/>
        <v>-33019.119435775661</v>
      </c>
      <c r="J50" s="109">
        <f>IF(A50&lt;Development!$C$6,0,IF(A50=Development!C$6,Development!$D$6,IF(I50&lt;0,IF(I49&gt;0,ROUNDDOWN(-I49/(I50-I49)*12,0),0),12)))</f>
        <v>0</v>
      </c>
      <c r="K50" s="109">
        <f>IF(OR(A50&lt;Development!$C$6,A50&gt;Abandonment!$B$4),0,(J50*I49-(I49-I50)*J50*(J50+1)/24)/12)</f>
        <v>0</v>
      </c>
      <c r="L50" s="109">
        <f>$K50*(L$7+'Selected Economics'!$G49)</f>
        <v>0</v>
      </c>
      <c r="M50" s="109">
        <f>$K50*(M$7+'Selected Economics'!$G49)</f>
        <v>0</v>
      </c>
      <c r="N50" s="109">
        <f>$K50*(N$7+'Selected Economics'!$G49)</f>
        <v>0</v>
      </c>
      <c r="O50" s="109">
        <f t="shared" si="24"/>
        <v>-31929.842213800584</v>
      </c>
      <c r="P50" s="109">
        <f t="shared" si="24"/>
        <v>-29751.287769850431</v>
      </c>
      <c r="Q50" s="109">
        <f t="shared" si="24"/>
        <v>-26120.36369660018</v>
      </c>
      <c r="R50" s="109">
        <f>IF(A50=Production!$B$4,Production!$B$5,IF(A50&lt;Production!$B$4,0,12+R49))</f>
        <v>365</v>
      </c>
      <c r="S50" s="109">
        <f>MIN($R50,IF(O50&lt;0,MAX(IF(Input!$B$36="Yes",MIN(12,24-R49),0),IF(AND(O49&gt;0,O50&lt;0),ROUNDDOWN(-O49/(O50-O49)*12,0)+0.5),0),12))</f>
        <v>0</v>
      </c>
      <c r="T50" s="109">
        <f>MAX(0,MIN($R50,IF(P50&lt;0,MAX(IF(Input!$B$36="Yes",MIN(12,36-SUM(T$11:T49)),0),IF(AND(P49&gt;0,P50&lt;0),ROUNDDOWN(-P49/(P50-P49)*12,0)+0.5),0),12))-S50)</f>
        <v>0</v>
      </c>
      <c r="U50" s="109">
        <f>MAX(0,MIN($R50,IF(AND(Q49&gt;0,Q50&lt;0),ROUNDDOWN(-Q49/(Q50-Q49)*12,0)+0.5,IF(AND(Q50&gt;0,MIN(Q$11:Q49)&gt;=0),12,0)))-SUM(S50:T50))</f>
        <v>0</v>
      </c>
      <c r="V50" s="109">
        <f t="shared" si="6"/>
        <v>12</v>
      </c>
      <c r="W50" s="109">
        <f t="shared" si="14"/>
        <v>0</v>
      </c>
      <c r="X50" s="109">
        <f t="shared" si="15"/>
        <v>0</v>
      </c>
      <c r="Y50" s="109">
        <f t="shared" si="7"/>
        <v>0</v>
      </c>
      <c r="Z50" s="109">
        <f t="shared" si="16"/>
        <v>0</v>
      </c>
      <c r="AA50" s="109">
        <f t="shared" si="8"/>
        <v>0</v>
      </c>
      <c r="AB50" s="109">
        <f t="shared" si="17"/>
        <v>0</v>
      </c>
      <c r="AC50" s="109">
        <f t="shared" si="9"/>
        <v>0</v>
      </c>
      <c r="AD50" s="109">
        <f t="shared" si="9"/>
        <v>0</v>
      </c>
      <c r="AE50" s="109">
        <f t="shared" si="9"/>
        <v>0</v>
      </c>
      <c r="AF50" s="109">
        <f t="shared" si="18"/>
        <v>0</v>
      </c>
      <c r="AG50" s="109">
        <f>IF(A50=Abandonment!$B$4,-W50,0)</f>
        <v>0</v>
      </c>
      <c r="AH50" s="109">
        <f t="shared" si="19"/>
        <v>0</v>
      </c>
      <c r="AI50" s="109">
        <f>MIN(AH50,MAX(0,$AL$3-SUM(AI51:AI$52)))</f>
        <v>0</v>
      </c>
      <c r="AJ50" s="109">
        <f t="shared" si="22"/>
        <v>0</v>
      </c>
      <c r="AK50" s="109">
        <f t="shared" si="10"/>
        <v>0</v>
      </c>
      <c r="AL50" s="109">
        <f>IF($A50=Abandonment!$B$4,LossRec,0)</f>
        <v>0</v>
      </c>
      <c r="AM50" s="109">
        <f t="shared" si="11"/>
        <v>0</v>
      </c>
      <c r="AN50" s="64"/>
      <c r="AO50" s="64"/>
      <c r="AP50" s="64"/>
      <c r="AQ50" s="184">
        <f t="shared" si="21"/>
        <v>48761</v>
      </c>
      <c r="AR50" s="184">
        <f>IF(AND(O50&lt;0,O49&gt;0,AR49=0),DATE($A50,MAX(12-$R50,0)+SUM($S50:S50)+0.5,1),AR49)</f>
        <v>48853</v>
      </c>
      <c r="AS50" s="184">
        <f>IF(AND(P50&lt;0,P49&gt;0,AS49=0),DATE($A50,MAX(12-$R50,0)+SUM($S50:T50)+0.5,1),AS49)</f>
        <v>49065</v>
      </c>
      <c r="AT50" s="184">
        <f>IF(AND(Q50&lt;0,Q49&gt;0,AT49=0),DATE($A50,MAX(12-$R50,0)+SUM($S50:U50)+0.5,1),AT49)</f>
        <v>49369</v>
      </c>
      <c r="AU50" s="64"/>
      <c r="AV50" s="64"/>
      <c r="AW50" s="64"/>
      <c r="AX50" s="64"/>
      <c r="AY50" s="64"/>
      <c r="AZ50" s="64"/>
      <c r="BA50" s="64"/>
      <c r="BB50" s="64"/>
    </row>
    <row r="51" spans="1:54">
      <c r="A51" s="97">
        <f t="shared" si="20"/>
        <v>2062</v>
      </c>
      <c r="B51" s="111">
        <f>'Success Cash Flow'!E49</f>
        <v>0</v>
      </c>
      <c r="C51" s="111">
        <f>IF(noteco=Lists!A$85,0,Exploration!AB76)</f>
        <v>0</v>
      </c>
      <c r="D51" s="111">
        <f>Development!BP131</f>
        <v>0</v>
      </c>
      <c r="E51" s="111">
        <f>Operations!S58</f>
        <v>0</v>
      </c>
      <c r="F51" s="111">
        <f>Abandonment!G55</f>
        <v>0</v>
      </c>
      <c r="G51" s="111">
        <f t="shared" si="3"/>
        <v>0</v>
      </c>
      <c r="H51" s="111">
        <f t="shared" si="12"/>
        <v>0</v>
      </c>
      <c r="I51" s="111">
        <f t="shared" si="13"/>
        <v>-33019.119435775661</v>
      </c>
      <c r="J51" s="111">
        <f>IF(A51&lt;Development!$C$6,0,IF(A51=Development!C$6,Development!$D$6,IF(I51&lt;0,IF(I50&gt;0,ROUNDDOWN(-I50/(I51-I50)*12,0),0),12)))</f>
        <v>0</v>
      </c>
      <c r="K51" s="111">
        <f>IF(OR(A51&lt;Development!$C$6,A51&gt;Abandonment!$B$4),0,(J51*I50-(I50-I51)*J51*(J51+1)/24)/12)</f>
        <v>0</v>
      </c>
      <c r="L51" s="111">
        <f>$K51*(L$7+'Selected Economics'!$G50)</f>
        <v>0</v>
      </c>
      <c r="M51" s="111">
        <f>$K51*(M$7+'Selected Economics'!$G50)</f>
        <v>0</v>
      </c>
      <c r="N51" s="111">
        <f>$K51*(N$7+'Selected Economics'!$G50)</f>
        <v>0</v>
      </c>
      <c r="O51" s="111">
        <f t="shared" si="24"/>
        <v>-31929.842213800584</v>
      </c>
      <c r="P51" s="111">
        <f t="shared" si="24"/>
        <v>-29751.287769850431</v>
      </c>
      <c r="Q51" s="111">
        <f t="shared" si="24"/>
        <v>-26120.36369660018</v>
      </c>
      <c r="R51" s="111">
        <f>IF(A51=Production!$B$4,Production!$B$5,IF(A51&lt;Production!$B$4,0,12+R50))</f>
        <v>377</v>
      </c>
      <c r="S51" s="111">
        <f>MIN($R51,IF(O51&lt;0,MAX(IF(Input!$B$36="Yes",MIN(12,24-R50),0),IF(AND(O50&gt;0,O51&lt;0),ROUNDDOWN(-O50/(O51-O50)*12,0)+0.5),0),12))</f>
        <v>0</v>
      </c>
      <c r="T51" s="111">
        <f>MAX(0,MIN($R51,IF(P51&lt;0,MAX(IF(Input!$B$36="Yes",MIN(12,36-SUM(T$11:T50)),0),IF(AND(P50&gt;0,P51&lt;0),ROUNDDOWN(-P50/(P51-P50)*12,0)+0.5),0),12))-S51)</f>
        <v>0</v>
      </c>
      <c r="U51" s="111">
        <f>MAX(0,MIN($R51,IF(AND(Q50&gt;0,Q51&lt;0),ROUNDDOWN(-Q50/(Q51-Q50)*12,0)+0.5,IF(AND(Q51&gt;0,MIN(Q$11:Q50)&gt;=0),12,0)))-SUM(S51:T51))</f>
        <v>0</v>
      </c>
      <c r="V51" s="111">
        <f t="shared" si="6"/>
        <v>12</v>
      </c>
      <c r="W51" s="111">
        <f t="shared" si="14"/>
        <v>0</v>
      </c>
      <c r="X51" s="111">
        <f t="shared" si="15"/>
        <v>0</v>
      </c>
      <c r="Y51" s="111">
        <f t="shared" si="7"/>
        <v>0</v>
      </c>
      <c r="Z51" s="111">
        <f t="shared" si="16"/>
        <v>0</v>
      </c>
      <c r="AA51" s="111">
        <f t="shared" si="8"/>
        <v>0</v>
      </c>
      <c r="AB51" s="111">
        <f t="shared" si="17"/>
        <v>0</v>
      </c>
      <c r="AC51" s="111">
        <f t="shared" si="9"/>
        <v>0</v>
      </c>
      <c r="AD51" s="111">
        <f t="shared" si="9"/>
        <v>0</v>
      </c>
      <c r="AE51" s="111">
        <f t="shared" si="9"/>
        <v>0</v>
      </c>
      <c r="AF51" s="111">
        <f t="shared" si="18"/>
        <v>0</v>
      </c>
      <c r="AG51" s="111">
        <f>IF(A51=Abandonment!$B$4,-W51,0)</f>
        <v>0</v>
      </c>
      <c r="AH51" s="111">
        <f t="shared" si="19"/>
        <v>0</v>
      </c>
      <c r="AI51" s="111">
        <f>MIN(AH51,MAX(0,$AL$3-SUM(AI52:AI$52)))</f>
        <v>0</v>
      </c>
      <c r="AJ51" s="111">
        <f t="shared" si="22"/>
        <v>0</v>
      </c>
      <c r="AK51" s="111">
        <f t="shared" si="10"/>
        <v>0</v>
      </c>
      <c r="AL51" s="111">
        <f>IF($A51=Abandonment!$B$4,LossRec,0)</f>
        <v>0</v>
      </c>
      <c r="AM51" s="111">
        <f t="shared" si="11"/>
        <v>0</v>
      </c>
      <c r="AN51" s="64"/>
      <c r="AO51" s="64"/>
      <c r="AP51" s="64"/>
      <c r="AQ51" s="185">
        <f t="shared" si="21"/>
        <v>48761</v>
      </c>
      <c r="AR51" s="185">
        <f>IF(AND(O51&lt;0,O50&gt;0,AR50=0),DATE($A51,MAX(12-$R51,0)+SUM($S51:S51)+0.5,1),AR50)</f>
        <v>48853</v>
      </c>
      <c r="AS51" s="185">
        <f>IF(AND(P51&lt;0,P50&gt;0,AS50=0),DATE($A51,MAX(12-$R51,0)+SUM($S51:T51)+0.5,1),AS50)</f>
        <v>49065</v>
      </c>
      <c r="AT51" s="185">
        <f>IF(AND(Q51&lt;0,Q50&gt;0,AT50=0),DATE($A51,MAX(12-$R51,0)+SUM($S51:U51)+0.5,1),AT50)</f>
        <v>49369</v>
      </c>
      <c r="AU51" s="64"/>
      <c r="AV51" s="64"/>
      <c r="AW51" s="64"/>
      <c r="AX51" s="64"/>
      <c r="AY51" s="64"/>
      <c r="AZ51" s="64"/>
      <c r="BA51" s="64"/>
      <c r="BB51" s="64"/>
    </row>
    <row r="52" spans="1:54">
      <c r="A52" s="64"/>
      <c r="B52" s="64"/>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c r="AG52" s="64"/>
      <c r="AH52" s="64"/>
      <c r="AI52" s="64"/>
      <c r="AJ52" s="64"/>
      <c r="AK52" s="64"/>
      <c r="AL52" s="64"/>
      <c r="AM52" s="64"/>
      <c r="AN52" s="64"/>
      <c r="AO52" s="64"/>
      <c r="AP52" s="64"/>
      <c r="AQ52" s="64"/>
      <c r="AR52" s="64"/>
      <c r="AS52" s="64"/>
      <c r="AT52" s="64"/>
      <c r="AU52" s="64"/>
      <c r="AV52" s="64"/>
      <c r="AW52" s="64"/>
      <c r="AX52" s="64"/>
      <c r="AY52" s="64"/>
      <c r="AZ52" s="64"/>
      <c r="BA52" s="64"/>
      <c r="BB52" s="64"/>
    </row>
  </sheetData>
  <sheetProtection algorithmName="SHA-512" hashValue="P7P57s+OjlmUO3EqVoK60EeI702WFa6CCv/rsbWLrAIkngyjOLrldMVmpEhVZvt3/GHHO8BN45oH6CKswDWOFw==" saltValue="h92hZFKguk478sPCKvuHng==" spinCount="100000" sheet="1" objects="1" scenarios="1"/>
  <mergeCells count="6">
    <mergeCell ref="AQ5:AT5"/>
    <mergeCell ref="L5:N5"/>
    <mergeCell ref="O5:Q5"/>
    <mergeCell ref="S5:V5"/>
    <mergeCell ref="X5:AA5"/>
    <mergeCell ref="AB5:AE5"/>
  </mergeCells>
  <hyperlinks>
    <hyperlink ref="F1" location="Guide" display="Guide" xr:uid="{00000000-0004-0000-1800-000000000000}"/>
    <hyperlink ref="F2" location="Input" display="Input" xr:uid="{00000000-0004-0000-1800-000001000000}"/>
  </hyperlinks>
  <pageMargins left="0.7" right="0.7" top="0.75" bottom="0.75" header="0.3" footer="0.3"/>
  <pageSetup paperSize="9" scale="64" fitToWidth="0" orientation="landscape" r:id="rId1"/>
  <headerFooter>
    <oddFooter>&amp;LNova Scotia Exploration Economics Model&amp;Rwww.indeva.com</oddFooter>
  </headerFooter>
  <colBreaks count="1" manualBreakCount="1">
    <brk id="23" max="51" man="1"/>
  </col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6">
    <tabColor theme="3" tint="0.79998168889431442"/>
    <pageSetUpPr fitToPage="1"/>
  </sheetPr>
  <dimension ref="A1:X52"/>
  <sheetViews>
    <sheetView showGridLines="0" showRowColHeader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sheetView>
  </sheetViews>
  <sheetFormatPr defaultRowHeight="15"/>
  <cols>
    <col min="1" max="1" width="18.140625" customWidth="1"/>
    <col min="2" max="2" width="14.28515625" customWidth="1"/>
    <col min="3" max="3" width="11.85546875" customWidth="1"/>
    <col min="4" max="4" width="12.42578125" customWidth="1"/>
    <col min="5" max="5" width="13.42578125" customWidth="1"/>
    <col min="6" max="6" width="11.42578125" customWidth="1"/>
    <col min="7" max="7" width="13.5703125" customWidth="1"/>
    <col min="8" max="9" width="13.42578125" customWidth="1"/>
    <col min="10" max="10" width="10.28515625" customWidth="1"/>
    <col min="11" max="11" width="13.140625" customWidth="1"/>
    <col min="12" max="12" width="12.28515625" customWidth="1"/>
    <col min="13" max="14" width="11.85546875" customWidth="1"/>
    <col min="15" max="15" width="10.42578125" customWidth="1"/>
    <col min="16" max="16" width="10.42578125" bestFit="1" customWidth="1"/>
    <col min="17" max="17" width="11" customWidth="1"/>
    <col min="18" max="19" width="12.28515625" customWidth="1"/>
    <col min="20" max="20" width="13.42578125" customWidth="1"/>
    <col min="21" max="21" width="13.5703125" customWidth="1"/>
    <col min="22" max="22" width="12.5703125" customWidth="1"/>
    <col min="23" max="23" width="13.7109375" customWidth="1"/>
    <col min="24" max="24" width="11.85546875" customWidth="1"/>
    <col min="25" max="25" width="11" bestFit="1" customWidth="1"/>
    <col min="26" max="26" width="17.140625" customWidth="1"/>
  </cols>
  <sheetData>
    <row r="1" spans="1:24" ht="18.75">
      <c r="A1" s="92" t="str">
        <f>Input!B10</f>
        <v>Prospect X</v>
      </c>
      <c r="B1" s="92" t="s">
        <v>377</v>
      </c>
      <c r="C1" s="64"/>
      <c r="D1" s="64"/>
      <c r="E1" s="64"/>
      <c r="F1" s="64"/>
      <c r="G1" s="93" t="s">
        <v>756</v>
      </c>
      <c r="H1" s="64"/>
      <c r="I1" s="64"/>
      <c r="J1" s="64"/>
      <c r="K1" s="64"/>
      <c r="L1" s="64"/>
      <c r="M1" s="64"/>
      <c r="N1" s="64"/>
      <c r="O1" s="64"/>
      <c r="P1" s="64"/>
      <c r="Q1" s="64"/>
      <c r="R1" s="64"/>
      <c r="S1" s="64"/>
      <c r="T1" s="64"/>
      <c r="U1" s="64"/>
      <c r="V1" s="64"/>
      <c r="W1" s="64"/>
      <c r="X1" s="64"/>
    </row>
    <row r="2" spans="1:24" ht="18.75">
      <c r="A2" s="64"/>
      <c r="B2" s="64"/>
      <c r="C2" s="64"/>
      <c r="D2" s="64"/>
      <c r="E2" s="64"/>
      <c r="F2" s="64"/>
      <c r="G2" s="93" t="s">
        <v>139</v>
      </c>
      <c r="H2" s="64"/>
      <c r="I2" s="64"/>
      <c r="J2" s="64"/>
      <c r="K2" s="64"/>
      <c r="L2" s="64"/>
      <c r="M2" s="178"/>
      <c r="N2" s="64"/>
      <c r="O2" s="64"/>
      <c r="P2" s="64"/>
      <c r="Q2" s="64"/>
      <c r="R2" s="64"/>
      <c r="S2" s="178"/>
      <c r="T2" s="64"/>
      <c r="U2" s="64"/>
      <c r="V2" s="64"/>
      <c r="W2" s="64"/>
      <c r="X2" s="64"/>
    </row>
    <row r="3" spans="1:24">
      <c r="A3" s="64"/>
      <c r="B3" s="64"/>
      <c r="C3" s="64"/>
      <c r="D3" s="178"/>
      <c r="E3" s="64"/>
      <c r="F3" s="64"/>
      <c r="G3" s="64"/>
      <c r="H3" s="64"/>
      <c r="I3" s="64"/>
      <c r="J3" s="64"/>
      <c r="K3" s="64"/>
      <c r="L3" s="64"/>
      <c r="M3" s="178"/>
      <c r="N3" s="64"/>
      <c r="O3" s="64"/>
      <c r="P3" s="64"/>
      <c r="Q3" s="64"/>
      <c r="R3" s="64"/>
      <c r="S3" s="64"/>
      <c r="T3" s="64"/>
      <c r="U3" s="64"/>
      <c r="V3" s="64"/>
      <c r="W3" s="64"/>
      <c r="X3" s="64"/>
    </row>
    <row r="4" spans="1:24">
      <c r="A4" s="89" t="s">
        <v>14</v>
      </c>
      <c r="B4" s="89" t="s">
        <v>15</v>
      </c>
      <c r="C4" s="89" t="s">
        <v>18</v>
      </c>
      <c r="D4" s="89" t="s">
        <v>41</v>
      </c>
      <c r="E4" s="89" t="s">
        <v>378</v>
      </c>
      <c r="F4" s="89"/>
      <c r="G4" s="89" t="s">
        <v>294</v>
      </c>
      <c r="H4" s="89" t="s">
        <v>379</v>
      </c>
      <c r="I4" s="89" t="s">
        <v>378</v>
      </c>
      <c r="J4" s="89" t="s">
        <v>380</v>
      </c>
      <c r="K4" s="89" t="s">
        <v>381</v>
      </c>
      <c r="L4" s="89" t="s">
        <v>382</v>
      </c>
      <c r="M4" s="89" t="s">
        <v>32</v>
      </c>
      <c r="N4" s="89" t="s">
        <v>41</v>
      </c>
      <c r="O4" s="89"/>
      <c r="P4" s="89" t="s">
        <v>293</v>
      </c>
      <c r="Q4" s="89" t="s">
        <v>207</v>
      </c>
      <c r="R4" s="89" t="s">
        <v>383</v>
      </c>
      <c r="S4" s="89" t="s">
        <v>384</v>
      </c>
      <c r="T4" s="89" t="s">
        <v>385</v>
      </c>
      <c r="U4" s="89" t="s">
        <v>386</v>
      </c>
      <c r="V4" s="89" t="s">
        <v>387</v>
      </c>
      <c r="W4" s="89" t="s">
        <v>388</v>
      </c>
      <c r="X4" s="89" t="s">
        <v>389</v>
      </c>
    </row>
    <row r="5" spans="1:24">
      <c r="A5" s="97"/>
      <c r="B5" s="97"/>
      <c r="C5" s="97" t="s">
        <v>41</v>
      </c>
      <c r="D5" s="97" t="s">
        <v>390</v>
      </c>
      <c r="E5" s="97" t="s">
        <v>391</v>
      </c>
      <c r="F5" s="97" t="s">
        <v>61</v>
      </c>
      <c r="G5" s="180">
        <v>0.25</v>
      </c>
      <c r="H5" s="97" t="s">
        <v>392</v>
      </c>
      <c r="I5" s="97" t="s">
        <v>391</v>
      </c>
      <c r="J5" s="97" t="s">
        <v>61</v>
      </c>
      <c r="K5" s="180">
        <f>IF(Abandonment!B7&lt;=15,20%,8%)</f>
        <v>0.08</v>
      </c>
      <c r="L5" s="97" t="s">
        <v>393</v>
      </c>
      <c r="M5" s="97"/>
      <c r="N5" s="97" t="s">
        <v>394</v>
      </c>
      <c r="O5" s="97" t="s">
        <v>61</v>
      </c>
      <c r="P5" s="180">
        <v>0.3</v>
      </c>
      <c r="Q5" s="97"/>
      <c r="R5" s="97" t="s">
        <v>395</v>
      </c>
      <c r="S5" s="97"/>
      <c r="T5" s="97" t="s">
        <v>396</v>
      </c>
      <c r="U5" s="97" t="s">
        <v>397</v>
      </c>
      <c r="V5" s="97" t="s">
        <v>393</v>
      </c>
      <c r="W5" s="97"/>
      <c r="X5" s="97" t="s">
        <v>54</v>
      </c>
    </row>
    <row r="6" spans="1:24">
      <c r="A6" s="85" t="s">
        <v>13</v>
      </c>
      <c r="B6" s="100">
        <f>SUM(B8:B48)</f>
        <v>52220.912964706127</v>
      </c>
      <c r="C6" s="100">
        <f>SUM(C8:C48)</f>
        <v>9875.416534209282</v>
      </c>
      <c r="D6" s="100">
        <f>SUM(D8:D48)</f>
        <v>5838.1026989342026</v>
      </c>
      <c r="E6" s="100">
        <f>SUM(E8:E48)</f>
        <v>5838.1026989342026</v>
      </c>
      <c r="F6" s="100"/>
      <c r="G6" s="100">
        <f>SUM(G9:G49)</f>
        <v>5838.1026989342035</v>
      </c>
      <c r="H6" s="100">
        <f t="shared" ref="H6:S6" si="0">SUM(H9:H49)</f>
        <v>0</v>
      </c>
      <c r="I6" s="100">
        <f t="shared" si="0"/>
        <v>0</v>
      </c>
      <c r="J6" s="100"/>
      <c r="K6" s="100">
        <f t="shared" si="0"/>
        <v>0</v>
      </c>
      <c r="L6" s="100">
        <f t="shared" si="0"/>
        <v>36507.393731562639</v>
      </c>
      <c r="M6" s="100">
        <f t="shared" si="0"/>
        <v>10322.711033597319</v>
      </c>
      <c r="N6" s="100">
        <f t="shared" si="0"/>
        <v>2125.00586288246</v>
      </c>
      <c r="O6" s="100"/>
      <c r="P6" s="100">
        <f t="shared" si="0"/>
        <v>2125.0058628824609</v>
      </c>
      <c r="Q6" s="100">
        <f t="shared" si="0"/>
        <v>120.34981402815664</v>
      </c>
      <c r="R6" s="100">
        <f t="shared" si="0"/>
        <v>23939.327021054713</v>
      </c>
      <c r="S6" s="100">
        <f t="shared" si="0"/>
        <v>-133.00546673429432</v>
      </c>
      <c r="T6" s="100"/>
      <c r="U6" s="100"/>
      <c r="V6" s="100">
        <f>SUM(V9:V49)</f>
        <v>24427.343816821605</v>
      </c>
      <c r="W6" s="100"/>
      <c r="X6" s="100">
        <f>SUM(X9:X49)</f>
        <v>3664.101572523241</v>
      </c>
    </row>
    <row r="7" spans="1:24">
      <c r="A7" s="64"/>
      <c r="B7" s="105"/>
      <c r="C7" s="105"/>
      <c r="D7" s="105"/>
      <c r="E7" s="105"/>
      <c r="F7" s="105"/>
      <c r="G7" s="105"/>
      <c r="H7" s="105"/>
      <c r="I7" s="105"/>
      <c r="J7" s="105"/>
      <c r="K7" s="105"/>
      <c r="L7" s="105"/>
      <c r="M7" s="105"/>
      <c r="N7" s="105"/>
      <c r="O7" s="105"/>
      <c r="P7" s="105"/>
      <c r="Q7" s="105"/>
      <c r="R7" s="105"/>
      <c r="S7" s="105"/>
      <c r="T7" s="105"/>
      <c r="U7" s="105"/>
      <c r="V7" s="105"/>
      <c r="W7" s="105"/>
      <c r="X7" s="105"/>
    </row>
    <row r="8" spans="1:24">
      <c r="A8" s="64"/>
      <c r="B8" s="105"/>
      <c r="C8" s="105"/>
      <c r="D8" s="105"/>
      <c r="E8" s="105"/>
      <c r="F8" s="105"/>
      <c r="G8" s="105"/>
      <c r="H8" s="105"/>
      <c r="I8" s="105"/>
      <c r="J8" s="105"/>
      <c r="K8" s="105"/>
      <c r="L8" s="105"/>
      <c r="M8" s="105"/>
      <c r="N8" s="105"/>
      <c r="O8" s="105"/>
      <c r="P8" s="105"/>
      <c r="Q8" s="105"/>
      <c r="R8" s="105"/>
      <c r="S8" s="105"/>
      <c r="T8" s="105"/>
      <c r="U8" s="105"/>
      <c r="V8" s="105"/>
      <c r="W8" s="105"/>
      <c r="X8" s="105"/>
    </row>
    <row r="9" spans="1:24">
      <c r="A9" s="104" t="s">
        <v>63</v>
      </c>
      <c r="B9" s="186"/>
      <c r="C9" s="100"/>
      <c r="D9" s="100">
        <f>IF('Historic Costs'!D10=Lists!A38,'Historic Costs'!E10,Exploration!V29)</f>
        <v>0</v>
      </c>
      <c r="E9" s="100"/>
      <c r="F9" s="100"/>
      <c r="G9" s="100"/>
      <c r="H9" s="100">
        <v>0</v>
      </c>
      <c r="I9" s="100"/>
      <c r="J9" s="100">
        <v>0</v>
      </c>
      <c r="K9" s="100"/>
      <c r="L9" s="100"/>
      <c r="M9" s="100"/>
      <c r="N9" s="100"/>
      <c r="O9" s="100">
        <f>IF('Historic Costs'!D12=Lists!A38,'Historic Costs'!E12,Exploration!V28)</f>
        <v>0</v>
      </c>
      <c r="P9" s="100"/>
      <c r="Q9" s="100">
        <f>IF('Historic Costs'!D13=Lists!A38,'Historic Costs'!E13,Exploration!V27)</f>
        <v>0</v>
      </c>
      <c r="R9" s="100">
        <f>-Q9</f>
        <v>0</v>
      </c>
      <c r="S9" s="100"/>
      <c r="T9" s="100"/>
      <c r="U9" s="100">
        <f>MIN(0,R9+U8-S9)</f>
        <v>0</v>
      </c>
      <c r="V9" s="100"/>
      <c r="W9" s="100"/>
      <c r="X9" s="100"/>
    </row>
    <row r="10" spans="1:24">
      <c r="A10" s="90"/>
      <c r="B10" s="187"/>
      <c r="C10" s="107"/>
      <c r="D10" s="107"/>
      <c r="E10" s="107"/>
      <c r="F10" s="107"/>
      <c r="G10" s="107"/>
      <c r="H10" s="107"/>
      <c r="I10" s="107"/>
      <c r="J10" s="107"/>
      <c r="K10" s="107"/>
      <c r="L10" s="107"/>
      <c r="M10" s="107"/>
      <c r="N10" s="107"/>
      <c r="O10" s="107"/>
      <c r="P10" s="107"/>
      <c r="Q10" s="107"/>
      <c r="R10" s="107"/>
      <c r="S10" s="107"/>
      <c r="T10" s="107"/>
      <c r="U10" s="107"/>
      <c r="V10" s="107"/>
      <c r="W10" s="107"/>
      <c r="X10" s="107"/>
    </row>
    <row r="11" spans="1:24">
      <c r="A11" s="90">
        <f>'Success Cash Flow'!A10</f>
        <v>2023</v>
      </c>
      <c r="B11" s="107">
        <f>Revenue!Q11</f>
        <v>0</v>
      </c>
      <c r="C11" s="107">
        <f>Operations!M19+Abandonment!G16</f>
        <v>0</v>
      </c>
      <c r="D11" s="107">
        <f>Development!BL92</f>
        <v>0</v>
      </c>
      <c r="E11" s="107">
        <f>IF($A11&lt;Production!$B$4,0,IF($A11=Production!$B$4,SUM(D$9:D11),D11))</f>
        <v>0</v>
      </c>
      <c r="F11" s="107">
        <f>0.5*E10+0.5*E11+F9-G9</f>
        <v>0</v>
      </c>
      <c r="G11" s="107">
        <f>F11*IF(A11&gt;=Abandonment!$B$4,1,G$5)</f>
        <v>0</v>
      </c>
      <c r="H11" s="107">
        <f>Development!BM92</f>
        <v>0</v>
      </c>
      <c r="I11" s="107">
        <f>IF($A11&lt;Production!$B$4,0,IF($A11=Production!$B$4,SUM(H$9:H11),H11))</f>
        <v>0</v>
      </c>
      <c r="J11" s="107">
        <f>0.5*I9+0.5*I11+J9-K9</f>
        <v>0</v>
      </c>
      <c r="K11" s="107">
        <f>J11*IF(Abandonment!$B$4='Federal Tax'!A11,1,K$5)</f>
        <v>0</v>
      </c>
      <c r="L11" s="107">
        <f t="shared" ref="L11:L50" si="1">B11-C11-G11-K11</f>
        <v>0</v>
      </c>
      <c r="M11" s="107">
        <f>Royalty!AM12</f>
        <v>0</v>
      </c>
      <c r="N11" s="107">
        <f>Development!BK92</f>
        <v>0</v>
      </c>
      <c r="O11" s="107">
        <f>O9+N11-P9</f>
        <v>0</v>
      </c>
      <c r="P11" s="107">
        <f>O11*IF(A11=Abandonment!$B$4,1,P$5)</f>
        <v>0</v>
      </c>
      <c r="Q11" s="107">
        <f>Exploration!Z37</f>
        <v>9.6278000000000006</v>
      </c>
      <c r="R11" s="107">
        <f t="shared" ref="R11:R50" si="2">L11-M11-P11-Q11</f>
        <v>-9.6278000000000006</v>
      </c>
      <c r="S11" s="107">
        <f>-MIN(-MIN(R11,0),MAX(0,SUM(V7:V9)-SUM(S7:S9)+T9))</f>
        <v>0</v>
      </c>
      <c r="T11" s="107">
        <f>MIN(0,MAX(0,R7)+S11+T9)</f>
        <v>0</v>
      </c>
      <c r="U11" s="107">
        <f>MIN(0,R11+U9-S11)</f>
        <v>-9.6278000000000006</v>
      </c>
      <c r="V11" s="107">
        <f>IF(Input!$B$38="Yes",R11,MAX(0,R11+U9)+S11)</f>
        <v>0</v>
      </c>
      <c r="W11" s="188">
        <v>0.15</v>
      </c>
      <c r="X11" s="107">
        <f>V11*W11</f>
        <v>0</v>
      </c>
    </row>
    <row r="12" spans="1:24">
      <c r="A12" s="90">
        <f>A11+1</f>
        <v>2024</v>
      </c>
      <c r="B12" s="109">
        <f>Revenue!Q12</f>
        <v>0</v>
      </c>
      <c r="C12" s="109">
        <f>Operations!M20+Abandonment!G17</f>
        <v>0</v>
      </c>
      <c r="D12" s="109">
        <f>Development!BL93</f>
        <v>0</v>
      </c>
      <c r="E12" s="109">
        <f>IF($A12&lt;Production!$B$4,0,IF($A12=Production!$B$4,SUM(D$9:D12),D12))</f>
        <v>0</v>
      </c>
      <c r="F12" s="109">
        <f t="shared" ref="F12:F50" si="3">0.5*E11+0.5*E12+F10-G10</f>
        <v>0</v>
      </c>
      <c r="G12" s="109">
        <f>F12*IF(A12&gt;=Abandonment!$B$4,1,G$5)</f>
        <v>0</v>
      </c>
      <c r="H12" s="109">
        <f>Development!BM93</f>
        <v>0</v>
      </c>
      <c r="I12" s="109">
        <f>IF($A12&lt;Production!$B$4,0,IF($A12=Production!$B$4,SUM(H$9:H12),H12))</f>
        <v>0</v>
      </c>
      <c r="J12" s="109">
        <f t="shared" ref="J12:J50" si="4">0.5*I11+0.5*I12+J11-K11</f>
        <v>0</v>
      </c>
      <c r="K12" s="109">
        <f>J12*IF(Abandonment!$B$4='Federal Tax'!A12,1,K$5)</f>
        <v>0</v>
      </c>
      <c r="L12" s="109">
        <f t="shared" si="1"/>
        <v>0</v>
      </c>
      <c r="M12" s="109">
        <f>Royalty!AM13</f>
        <v>0</v>
      </c>
      <c r="N12" s="109">
        <f>Development!BK93</f>
        <v>0</v>
      </c>
      <c r="O12" s="109">
        <f t="shared" ref="O12:O50" si="5">O11+N12-P11</f>
        <v>0</v>
      </c>
      <c r="P12" s="109">
        <f>O12*IF(A12=Abandonment!$B$4,1,P$5)</f>
        <v>0</v>
      </c>
      <c r="Q12" s="109">
        <f>Exploration!Z38</f>
        <v>74.852665618512248</v>
      </c>
      <c r="R12" s="109">
        <f t="shared" si="2"/>
        <v>-74.852665618512248</v>
      </c>
      <c r="S12" s="109">
        <f>-MIN(-MIN(R12,0),MAX(0,SUM(V8:V11)-SUM(S8:S11)+T11))</f>
        <v>0</v>
      </c>
      <c r="T12" s="109">
        <f>MIN(0,MAX(0,R8)+S12+T11)</f>
        <v>0</v>
      </c>
      <c r="U12" s="109">
        <f t="shared" ref="U12:U50" si="6">MIN(0,R12+U11-S12)</f>
        <v>-84.480465618512255</v>
      </c>
      <c r="V12" s="109">
        <f>IF(Input!$B$38="Yes",R12,MAX(0,R12+U11)+S12)</f>
        <v>0</v>
      </c>
      <c r="W12" s="189">
        <v>0.15</v>
      </c>
      <c r="X12" s="109">
        <f t="shared" ref="X12:X50" si="7">V12*W12</f>
        <v>0</v>
      </c>
    </row>
    <row r="13" spans="1:24">
      <c r="A13" s="90">
        <f t="shared" ref="A13:A50" si="8">A12+1</f>
        <v>2025</v>
      </c>
      <c r="B13" s="109">
        <f>Revenue!Q13</f>
        <v>0</v>
      </c>
      <c r="C13" s="109">
        <f>Operations!M21+Abandonment!G18</f>
        <v>0</v>
      </c>
      <c r="D13" s="109">
        <f>Development!BL94</f>
        <v>0</v>
      </c>
      <c r="E13" s="109">
        <f>IF($A13&lt;Production!$B$4,0,IF($A13=Production!$B$4,SUM(D$9:D13),D13))</f>
        <v>0</v>
      </c>
      <c r="F13" s="109">
        <f t="shared" si="3"/>
        <v>0</v>
      </c>
      <c r="G13" s="109">
        <f>F13*IF(A13&gt;=Abandonment!$B$4,1,G$5)</f>
        <v>0</v>
      </c>
      <c r="H13" s="109">
        <f>Development!BM94</f>
        <v>0</v>
      </c>
      <c r="I13" s="109">
        <f>IF($A13&lt;Production!$B$4,0,IF($A13=Production!$B$4,SUM(H$9:H13),H13))</f>
        <v>0</v>
      </c>
      <c r="J13" s="109">
        <f t="shared" si="4"/>
        <v>0</v>
      </c>
      <c r="K13" s="109">
        <f>J13*IF(Abandonment!$B$4='Federal Tax'!A13,1,K$5)</f>
        <v>0</v>
      </c>
      <c r="L13" s="109">
        <f t="shared" si="1"/>
        <v>0</v>
      </c>
      <c r="M13" s="109">
        <f>Royalty!AM14</f>
        <v>0</v>
      </c>
      <c r="N13" s="109">
        <f>Development!BK94</f>
        <v>107.47665567431575</v>
      </c>
      <c r="O13" s="109">
        <f t="shared" si="5"/>
        <v>107.47665567431575</v>
      </c>
      <c r="P13" s="109">
        <f>O13*IF(A13=Abandonment!$B$4,1,P$5)</f>
        <v>32.242996702294725</v>
      </c>
      <c r="Q13" s="109">
        <f>Exploration!Z39</f>
        <v>35.869348409644388</v>
      </c>
      <c r="R13" s="109">
        <f t="shared" si="2"/>
        <v>-68.112345111939106</v>
      </c>
      <c r="S13" s="109">
        <f>-MIN(-MIN(R13,0),MAX(0,SUM(V9:V12)-SUM(S9:S12)+T12))</f>
        <v>0</v>
      </c>
      <c r="T13" s="109">
        <f>MIN(0,MAX(0,R9)+S13+T12)</f>
        <v>0</v>
      </c>
      <c r="U13" s="109">
        <f t="shared" si="6"/>
        <v>-152.59281073045136</v>
      </c>
      <c r="V13" s="109">
        <f>IF(Input!$B$38="Yes",R13,MAX(0,R13+U12)+S13)</f>
        <v>0</v>
      </c>
      <c r="W13" s="189">
        <v>0.15</v>
      </c>
      <c r="X13" s="109">
        <f t="shared" si="7"/>
        <v>0</v>
      </c>
    </row>
    <row r="14" spans="1:24">
      <c r="A14" s="90">
        <f t="shared" si="8"/>
        <v>2026</v>
      </c>
      <c r="B14" s="109">
        <f>Revenue!Q14</f>
        <v>0</v>
      </c>
      <c r="C14" s="109">
        <f>Operations!M22+Abandonment!G19</f>
        <v>0</v>
      </c>
      <c r="D14" s="109">
        <f>Development!BL95</f>
        <v>0</v>
      </c>
      <c r="E14" s="109">
        <f>IF($A14&lt;Production!$B$4,0,IF($A14=Production!$B$4,SUM(D$9:D14),D14))</f>
        <v>0</v>
      </c>
      <c r="F14" s="109">
        <f t="shared" si="3"/>
        <v>0</v>
      </c>
      <c r="G14" s="109">
        <f>F14*IF(A14&gt;=Abandonment!$B$4,1,G$5)</f>
        <v>0</v>
      </c>
      <c r="H14" s="109">
        <f>Development!BM95</f>
        <v>0</v>
      </c>
      <c r="I14" s="109">
        <f>IF($A14&lt;Production!$B$4,0,IF($A14=Production!$B$4,SUM(H$9:H14),H14))</f>
        <v>0</v>
      </c>
      <c r="J14" s="109">
        <f t="shared" si="4"/>
        <v>0</v>
      </c>
      <c r="K14" s="109">
        <f>J14*IF(Abandonment!$B$4='Federal Tax'!A14,1,K$5)</f>
        <v>0</v>
      </c>
      <c r="L14" s="109">
        <f t="shared" si="1"/>
        <v>0</v>
      </c>
      <c r="M14" s="109">
        <f>Royalty!AM15</f>
        <v>0</v>
      </c>
      <c r="N14" s="109">
        <f>Development!BK95</f>
        <v>221.40191068909044</v>
      </c>
      <c r="O14" s="109">
        <f t="shared" si="5"/>
        <v>296.6355696611115</v>
      </c>
      <c r="P14" s="109">
        <f>O14*IF(A14=Abandonment!$B$4,1,P$5)</f>
        <v>88.990670898333448</v>
      </c>
      <c r="Q14" s="109">
        <f>Exploration!Z40</f>
        <v>0</v>
      </c>
      <c r="R14" s="109">
        <f t="shared" si="2"/>
        <v>-88.990670898333448</v>
      </c>
      <c r="S14" s="109">
        <f t="shared" ref="S14:S50" si="9">-MIN(-MIN(R14,0),MAX(0,SUM(V11:V13)-SUM(S11:S13)+T13))</f>
        <v>0</v>
      </c>
      <c r="T14" s="109">
        <f>MIN(0,MAX(0,R11)+S14+T13)</f>
        <v>0</v>
      </c>
      <c r="U14" s="109">
        <f t="shared" si="6"/>
        <v>-241.5834816287848</v>
      </c>
      <c r="V14" s="109">
        <f>IF(Input!$B$38="Yes",R14,MAX(0,R14+U13)+S14)</f>
        <v>0</v>
      </c>
      <c r="W14" s="189">
        <v>0.15</v>
      </c>
      <c r="X14" s="109">
        <f t="shared" si="7"/>
        <v>0</v>
      </c>
    </row>
    <row r="15" spans="1:24">
      <c r="A15" s="90">
        <f t="shared" si="8"/>
        <v>2027</v>
      </c>
      <c r="B15" s="109">
        <f>Revenue!Q15</f>
        <v>0</v>
      </c>
      <c r="C15" s="109">
        <f>Operations!M23+Abandonment!G20</f>
        <v>0</v>
      </c>
      <c r="D15" s="109">
        <f>Development!BL96</f>
        <v>14.316016678088269</v>
      </c>
      <c r="E15" s="109">
        <f>IF($A15&lt;Production!$B$4,0,IF($A15=Production!$B$4,SUM(D$9:D15),D15))</f>
        <v>0</v>
      </c>
      <c r="F15" s="109">
        <f t="shared" si="3"/>
        <v>0</v>
      </c>
      <c r="G15" s="109">
        <f>F15*IF(A15&gt;=Abandonment!$B$4,1,G$5)</f>
        <v>0</v>
      </c>
      <c r="H15" s="109">
        <f>Development!BM96</f>
        <v>0</v>
      </c>
      <c r="I15" s="109">
        <f>IF($A15&lt;Production!$B$4,0,IF($A15=Production!$B$4,SUM(H$9:H15),H15))</f>
        <v>0</v>
      </c>
      <c r="J15" s="109">
        <f t="shared" si="4"/>
        <v>0</v>
      </c>
      <c r="K15" s="109">
        <f>J15*IF(Abandonment!$B$4='Federal Tax'!A15,1,K$5)</f>
        <v>0</v>
      </c>
      <c r="L15" s="109">
        <f t="shared" si="1"/>
        <v>0</v>
      </c>
      <c r="M15" s="109">
        <f>Royalty!AM16</f>
        <v>0</v>
      </c>
      <c r="N15" s="109">
        <f>Development!BK96</f>
        <v>0</v>
      </c>
      <c r="O15" s="109">
        <f t="shared" si="5"/>
        <v>207.64489876277804</v>
      </c>
      <c r="P15" s="109">
        <f>O15*IF(A15=Abandonment!$B$4,1,P$5)</f>
        <v>62.293469628833407</v>
      </c>
      <c r="Q15" s="109">
        <f>Exploration!Z41</f>
        <v>0</v>
      </c>
      <c r="R15" s="109">
        <f t="shared" si="2"/>
        <v>-62.293469628833407</v>
      </c>
      <c r="S15" s="109">
        <f t="shared" si="9"/>
        <v>0</v>
      </c>
      <c r="T15" s="109">
        <f t="shared" ref="T15:T50" si="10">MIN(0,MAX(0,R12)+S15+T14)</f>
        <v>0</v>
      </c>
      <c r="U15" s="109">
        <f t="shared" si="6"/>
        <v>-303.8769512576182</v>
      </c>
      <c r="V15" s="109">
        <f>IF(Input!$B$38="Yes",R15,MAX(0,R15+U14)+S15)</f>
        <v>0</v>
      </c>
      <c r="W15" s="189">
        <v>0.15</v>
      </c>
      <c r="X15" s="109">
        <f t="shared" si="7"/>
        <v>0</v>
      </c>
    </row>
    <row r="16" spans="1:24">
      <c r="A16" s="90">
        <f t="shared" si="8"/>
        <v>2028</v>
      </c>
      <c r="B16" s="109">
        <f>Revenue!Q16</f>
        <v>0</v>
      </c>
      <c r="C16" s="109">
        <f>Operations!M24+Abandonment!G21</f>
        <v>0</v>
      </c>
      <c r="D16" s="109">
        <f>Development!BL97</f>
        <v>2.4305764579831179</v>
      </c>
      <c r="E16" s="109">
        <f>IF($A16&lt;Production!$B$4,0,IF($A16=Production!$B$4,SUM(D$9:D16),D16))</f>
        <v>0</v>
      </c>
      <c r="F16" s="109">
        <f t="shared" si="3"/>
        <v>0</v>
      </c>
      <c r="G16" s="109">
        <f>F16*IF(A16&gt;=Abandonment!$B$4,1,G$5)</f>
        <v>0</v>
      </c>
      <c r="H16" s="109">
        <f>Development!BM97</f>
        <v>0</v>
      </c>
      <c r="I16" s="109">
        <f>IF($A16&lt;Production!$B$4,0,IF($A16=Production!$B$4,SUM(H$9:H16),H16))</f>
        <v>0</v>
      </c>
      <c r="J16" s="109">
        <f t="shared" si="4"/>
        <v>0</v>
      </c>
      <c r="K16" s="109">
        <f>J16*IF(Abandonment!$B$4='Federal Tax'!A16,1,K$5)</f>
        <v>0</v>
      </c>
      <c r="L16" s="109">
        <f t="shared" si="1"/>
        <v>0</v>
      </c>
      <c r="M16" s="109">
        <f>Royalty!AM17</f>
        <v>0</v>
      </c>
      <c r="N16" s="109">
        <f>Development!BK97</f>
        <v>0</v>
      </c>
      <c r="O16" s="109">
        <f t="shared" si="5"/>
        <v>145.35142913394463</v>
      </c>
      <c r="P16" s="109">
        <f>O16*IF(A16=Abandonment!$B$4,1,P$5)</f>
        <v>43.605428740183392</v>
      </c>
      <c r="Q16" s="109">
        <f>Exploration!Z42</f>
        <v>0</v>
      </c>
      <c r="R16" s="109">
        <f t="shared" si="2"/>
        <v>-43.605428740183392</v>
      </c>
      <c r="S16" s="109">
        <f t="shared" si="9"/>
        <v>0</v>
      </c>
      <c r="T16" s="109">
        <f t="shared" si="10"/>
        <v>0</v>
      </c>
      <c r="U16" s="109">
        <f t="shared" si="6"/>
        <v>-347.48237999780162</v>
      </c>
      <c r="V16" s="109">
        <f>IF(Input!$B$38="Yes",R16,MAX(0,R16+U15)+S16)</f>
        <v>0</v>
      </c>
      <c r="W16" s="189">
        <v>0.15</v>
      </c>
      <c r="X16" s="109">
        <f t="shared" si="7"/>
        <v>0</v>
      </c>
    </row>
    <row r="17" spans="1:24">
      <c r="A17" s="90">
        <f t="shared" si="8"/>
        <v>2029</v>
      </c>
      <c r="B17" s="109">
        <f>Revenue!Q17</f>
        <v>0</v>
      </c>
      <c r="C17" s="109">
        <f>Operations!M25+Abandonment!G22</f>
        <v>0</v>
      </c>
      <c r="D17" s="109">
        <f>Development!BL98</f>
        <v>472.39278561449584</v>
      </c>
      <c r="E17" s="109">
        <f>IF($A17&lt;Production!$B$4,0,IF($A17=Production!$B$4,SUM(D$9:D17),D17))</f>
        <v>0</v>
      </c>
      <c r="F17" s="109">
        <f t="shared" si="3"/>
        <v>0</v>
      </c>
      <c r="G17" s="109">
        <f>F17*IF(A17&gt;=Abandonment!$B$4,1,G$5)</f>
        <v>0</v>
      </c>
      <c r="H17" s="109">
        <f>Development!BM98</f>
        <v>0</v>
      </c>
      <c r="I17" s="109">
        <f>IF($A17&lt;Production!$B$4,0,IF($A17=Production!$B$4,SUM(H$9:H17),H17))</f>
        <v>0</v>
      </c>
      <c r="J17" s="109">
        <f t="shared" si="4"/>
        <v>0</v>
      </c>
      <c r="K17" s="109">
        <f>J17*IF(Abandonment!$B$4='Federal Tax'!A17,1,K$5)</f>
        <v>0</v>
      </c>
      <c r="L17" s="109">
        <f t="shared" si="1"/>
        <v>0</v>
      </c>
      <c r="M17" s="109">
        <f>Royalty!AM18</f>
        <v>0</v>
      </c>
      <c r="N17" s="109">
        <f>Development!BK98</f>
        <v>0</v>
      </c>
      <c r="O17" s="109">
        <f t="shared" si="5"/>
        <v>101.74600039376125</v>
      </c>
      <c r="P17" s="109">
        <f>O17*IF(A17=Abandonment!$B$4,1,P$5)</f>
        <v>30.523800118128374</v>
      </c>
      <c r="Q17" s="109">
        <f>Exploration!Z43</f>
        <v>0</v>
      </c>
      <c r="R17" s="109">
        <f t="shared" si="2"/>
        <v>-30.523800118128374</v>
      </c>
      <c r="S17" s="109">
        <f t="shared" si="9"/>
        <v>0</v>
      </c>
      <c r="T17" s="109">
        <f t="shared" si="10"/>
        <v>0</v>
      </c>
      <c r="U17" s="109">
        <f t="shared" si="6"/>
        <v>-378.00618011592996</v>
      </c>
      <c r="V17" s="109">
        <f>IF(Input!$B$38="Yes",R17,MAX(0,R17+U16)+S17)</f>
        <v>0</v>
      </c>
      <c r="W17" s="189">
        <v>0.15</v>
      </c>
      <c r="X17" s="109">
        <f t="shared" si="7"/>
        <v>0</v>
      </c>
    </row>
    <row r="18" spans="1:24">
      <c r="A18" s="90">
        <f t="shared" si="8"/>
        <v>2030</v>
      </c>
      <c r="B18" s="109">
        <f>Revenue!Q18</f>
        <v>0</v>
      </c>
      <c r="C18" s="109">
        <f>Operations!M26+Abandonment!G23</f>
        <v>0</v>
      </c>
      <c r="D18" s="109">
        <f>Development!BL99</f>
        <v>4164.5586326586235</v>
      </c>
      <c r="E18" s="109">
        <f>IF($A18&lt;Production!$B$4,0,IF($A18=Production!$B$4,SUM(D$9:D18),D18))</f>
        <v>0</v>
      </c>
      <c r="F18" s="109">
        <f t="shared" si="3"/>
        <v>0</v>
      </c>
      <c r="G18" s="109">
        <f>F18*IF(A18&gt;=Abandonment!$B$4,1,G$5)</f>
        <v>0</v>
      </c>
      <c r="H18" s="109">
        <f>Development!BM99</f>
        <v>0</v>
      </c>
      <c r="I18" s="109">
        <f>IF($A18&lt;Production!$B$4,0,IF($A18=Production!$B$4,SUM(H$9:H18),H18))</f>
        <v>0</v>
      </c>
      <c r="J18" s="109">
        <f t="shared" si="4"/>
        <v>0</v>
      </c>
      <c r="K18" s="109">
        <f>J18*IF(Abandonment!$B$4='Federal Tax'!A18,1,K$5)</f>
        <v>0</v>
      </c>
      <c r="L18" s="109">
        <f t="shared" si="1"/>
        <v>0</v>
      </c>
      <c r="M18" s="109">
        <f>Royalty!AM19</f>
        <v>0</v>
      </c>
      <c r="N18" s="109">
        <f>Development!BK99</f>
        <v>119.87471631941384</v>
      </c>
      <c r="O18" s="109">
        <f t="shared" si="5"/>
        <v>191.09691659504671</v>
      </c>
      <c r="P18" s="109">
        <f>O18*IF(A18=Abandonment!$B$4,1,P$5)</f>
        <v>57.329074978514008</v>
      </c>
      <c r="Q18" s="109">
        <f>Exploration!Z44</f>
        <v>0</v>
      </c>
      <c r="R18" s="109">
        <f t="shared" si="2"/>
        <v>-57.329074978514008</v>
      </c>
      <c r="S18" s="109">
        <f t="shared" si="9"/>
        <v>0</v>
      </c>
      <c r="T18" s="109">
        <f t="shared" si="10"/>
        <v>0</v>
      </c>
      <c r="U18" s="109">
        <f t="shared" si="6"/>
        <v>-435.33525509444399</v>
      </c>
      <c r="V18" s="109">
        <f>IF(Input!$B$38="Yes",R18,MAX(0,R18+U17)+S18)</f>
        <v>0</v>
      </c>
      <c r="W18" s="189">
        <v>0.15</v>
      </c>
      <c r="X18" s="109">
        <f t="shared" si="7"/>
        <v>0</v>
      </c>
    </row>
    <row r="19" spans="1:24">
      <c r="A19" s="90">
        <f t="shared" si="8"/>
        <v>2031</v>
      </c>
      <c r="B19" s="109">
        <f>Revenue!Q19</f>
        <v>2528.932343067177</v>
      </c>
      <c r="C19" s="109">
        <f>Operations!M27+Abandonment!G24</f>
        <v>345.38599538637789</v>
      </c>
      <c r="D19" s="109">
        <f>Development!BL100</f>
        <v>1184.4046875250119</v>
      </c>
      <c r="E19" s="109">
        <f>IF($A19&lt;Production!$B$4,0,IF($A19=Production!$B$4,SUM(D$9:D19),D19))</f>
        <v>5838.1026989342026</v>
      </c>
      <c r="F19" s="109">
        <f t="shared" si="3"/>
        <v>2919.0513494671013</v>
      </c>
      <c r="G19" s="109">
        <f>F19*IF(A19&gt;=Abandonment!$B$4,1,G$5)</f>
        <v>729.76283736677533</v>
      </c>
      <c r="H19" s="109">
        <f>Development!BM100</f>
        <v>0</v>
      </c>
      <c r="I19" s="109">
        <f>IF($A19&lt;Production!$B$4,0,IF($A19=Production!$B$4,SUM(H$9:H19),H19))</f>
        <v>0</v>
      </c>
      <c r="J19" s="109">
        <f t="shared" si="4"/>
        <v>0</v>
      </c>
      <c r="K19" s="109">
        <f>J19*IF(Abandonment!$B$4='Federal Tax'!A19,1,K$5)</f>
        <v>0</v>
      </c>
      <c r="L19" s="109">
        <f t="shared" si="1"/>
        <v>1453.7835103140237</v>
      </c>
      <c r="M19" s="109">
        <f>Royalty!AM20</f>
        <v>50.578646861343543</v>
      </c>
      <c r="N19" s="109">
        <f>Development!BK100</f>
        <v>1676.2525801996401</v>
      </c>
      <c r="O19" s="109">
        <f t="shared" si="5"/>
        <v>1810.0204218161728</v>
      </c>
      <c r="P19" s="109">
        <f>O19*IF(A19=Abandonment!$B$4,1,P$5)</f>
        <v>543.00612654485178</v>
      </c>
      <c r="Q19" s="109">
        <f>Exploration!Z45</f>
        <v>0</v>
      </c>
      <c r="R19" s="109">
        <f t="shared" si="2"/>
        <v>860.19873690782845</v>
      </c>
      <c r="S19" s="109">
        <f t="shared" si="9"/>
        <v>0</v>
      </c>
      <c r="T19" s="109">
        <f t="shared" si="10"/>
        <v>0</v>
      </c>
      <c r="U19" s="109">
        <f t="shared" si="6"/>
        <v>0</v>
      </c>
      <c r="V19" s="109">
        <f>IF(Input!$B$38="Yes",R19,MAX(0,R19+U18)+S19)</f>
        <v>424.86348181338445</v>
      </c>
      <c r="W19" s="189">
        <v>0.15</v>
      </c>
      <c r="X19" s="109">
        <f t="shared" si="7"/>
        <v>63.729522272007664</v>
      </c>
    </row>
    <row r="20" spans="1:24">
      <c r="A20" s="90">
        <f t="shared" si="8"/>
        <v>2032</v>
      </c>
      <c r="B20" s="109">
        <f>Revenue!Q20</f>
        <v>4474.6536159489724</v>
      </c>
      <c r="C20" s="109">
        <f>Operations!M28+Abandonment!G25</f>
        <v>485.12933283851851</v>
      </c>
      <c r="D20" s="109">
        <f>Development!BL101</f>
        <v>0</v>
      </c>
      <c r="E20" s="109">
        <f>IF($A20&lt;Production!$B$4,0,IF($A20=Production!$B$4,SUM(D$9:D20),D20))</f>
        <v>0</v>
      </c>
      <c r="F20" s="109">
        <f t="shared" si="3"/>
        <v>2919.0513494671013</v>
      </c>
      <c r="G20" s="109">
        <f>F20*IF(A20&gt;=Abandonment!$B$4,1,G$5)</f>
        <v>729.76283736677533</v>
      </c>
      <c r="H20" s="109">
        <f>Development!BM101</f>
        <v>0</v>
      </c>
      <c r="I20" s="109">
        <f>IF($A20&lt;Production!$B$4,0,IF($A20=Production!$B$4,SUM(H$9:H20),H20))</f>
        <v>0</v>
      </c>
      <c r="J20" s="109">
        <f t="shared" si="4"/>
        <v>0</v>
      </c>
      <c r="K20" s="109">
        <f>J20*IF(Abandonment!$B$4='Federal Tax'!A20,1,K$5)</f>
        <v>0</v>
      </c>
      <c r="L20" s="109">
        <f t="shared" si="1"/>
        <v>3259.7614457436785</v>
      </c>
      <c r="M20" s="109">
        <f>Royalty!AM21</f>
        <v>89.493072318979443</v>
      </c>
      <c r="N20" s="109">
        <f>Development!BK101</f>
        <v>0</v>
      </c>
      <c r="O20" s="109">
        <f t="shared" si="5"/>
        <v>1267.0142952713209</v>
      </c>
      <c r="P20" s="109">
        <f>O20*IF(A20=Abandonment!$B$4,1,P$5)</f>
        <v>380.10428858139625</v>
      </c>
      <c r="Q20" s="109">
        <f>Exploration!Z46</f>
        <v>0</v>
      </c>
      <c r="R20" s="109">
        <f t="shared" si="2"/>
        <v>2790.1640848433026</v>
      </c>
      <c r="S20" s="109">
        <f t="shared" si="9"/>
        <v>0</v>
      </c>
      <c r="T20" s="109">
        <f t="shared" si="10"/>
        <v>0</v>
      </c>
      <c r="U20" s="109">
        <f t="shared" si="6"/>
        <v>0</v>
      </c>
      <c r="V20" s="109">
        <f>IF(Input!$B$38="Yes",R20,MAX(0,R20+U19)+S20)</f>
        <v>2790.1640848433026</v>
      </c>
      <c r="W20" s="189">
        <v>0.15</v>
      </c>
      <c r="X20" s="109">
        <f t="shared" si="7"/>
        <v>418.52461272649538</v>
      </c>
    </row>
    <row r="21" spans="1:24">
      <c r="A21" s="90">
        <f t="shared" si="8"/>
        <v>2033</v>
      </c>
      <c r="B21" s="109">
        <f>Revenue!Q21</f>
        <v>4596.3006199891151</v>
      </c>
      <c r="C21" s="109">
        <f>Operations!M29+Abandonment!G26</f>
        <v>499.31719009157177</v>
      </c>
      <c r="D21" s="109">
        <f>Development!BL102</f>
        <v>0</v>
      </c>
      <c r="E21" s="109">
        <f>IF($A21&lt;Production!$B$4,0,IF($A21=Production!$B$4,SUM(D$9:D21),D21))</f>
        <v>0</v>
      </c>
      <c r="F21" s="109">
        <f t="shared" si="3"/>
        <v>2189.288512100326</v>
      </c>
      <c r="G21" s="109">
        <f>F21*IF(A21&gt;=Abandonment!$B$4,1,G$5)</f>
        <v>547.3221280250815</v>
      </c>
      <c r="H21" s="109">
        <f>Development!BM102</f>
        <v>0</v>
      </c>
      <c r="I21" s="109">
        <f>IF($A21&lt;Production!$B$4,0,IF($A21=Production!$B$4,SUM(H$9:H21),H21))</f>
        <v>0</v>
      </c>
      <c r="J21" s="109">
        <f t="shared" si="4"/>
        <v>0</v>
      </c>
      <c r="K21" s="109">
        <f>J21*IF(Abandonment!$B$4='Federal Tax'!A21,1,K$5)</f>
        <v>0</v>
      </c>
      <c r="L21" s="109">
        <f t="shared" si="1"/>
        <v>3549.6613018724624</v>
      </c>
      <c r="M21" s="109">
        <f>Royalty!AM22</f>
        <v>120.65289127471428</v>
      </c>
      <c r="N21" s="109">
        <f>Development!BK102</f>
        <v>0</v>
      </c>
      <c r="O21" s="109">
        <f t="shared" si="5"/>
        <v>886.91000668992456</v>
      </c>
      <c r="P21" s="109">
        <f>O21*IF(A21=Abandonment!$B$4,1,P$5)</f>
        <v>266.07300200697733</v>
      </c>
      <c r="Q21" s="109">
        <f>Exploration!Z47</f>
        <v>0</v>
      </c>
      <c r="R21" s="109">
        <f t="shared" si="2"/>
        <v>3162.9354085907707</v>
      </c>
      <c r="S21" s="109">
        <f t="shared" si="9"/>
        <v>0</v>
      </c>
      <c r="T21" s="109">
        <f t="shared" si="10"/>
        <v>0</v>
      </c>
      <c r="U21" s="109">
        <f t="shared" si="6"/>
        <v>0</v>
      </c>
      <c r="V21" s="109">
        <f>IF(Input!$B$38="Yes",R21,MAX(0,R21+U20)+S21)</f>
        <v>3162.9354085907707</v>
      </c>
      <c r="W21" s="189">
        <v>0.15</v>
      </c>
      <c r="X21" s="109">
        <f t="shared" si="7"/>
        <v>474.44031128861559</v>
      </c>
    </row>
    <row r="22" spans="1:24">
      <c r="A22" s="90">
        <f t="shared" si="8"/>
        <v>2034</v>
      </c>
      <c r="B22" s="109">
        <f>Revenue!Q22</f>
        <v>4734.1896385887894</v>
      </c>
      <c r="C22" s="109">
        <f>Operations!M30+Abandonment!G27</f>
        <v>514.29670579431888</v>
      </c>
      <c r="D22" s="109">
        <f>Development!BL103</f>
        <v>0</v>
      </c>
      <c r="E22" s="109">
        <f>IF($A22&lt;Production!$B$4,0,IF($A22=Production!$B$4,SUM(D$9:D22),D22))</f>
        <v>0</v>
      </c>
      <c r="F22" s="109">
        <f t="shared" si="3"/>
        <v>2189.288512100326</v>
      </c>
      <c r="G22" s="109">
        <f>F22*IF(A22&gt;=Abandonment!$B$4,1,G$5)</f>
        <v>547.3221280250815</v>
      </c>
      <c r="H22" s="109">
        <f>Development!BM103</f>
        <v>0</v>
      </c>
      <c r="I22" s="109">
        <f>IF($A22&lt;Production!$B$4,0,IF($A22=Production!$B$4,SUM(H$9:H22),H22))</f>
        <v>0</v>
      </c>
      <c r="J22" s="109">
        <f t="shared" si="4"/>
        <v>0</v>
      </c>
      <c r="K22" s="109">
        <f>J22*IF(Abandonment!$B$4='Federal Tax'!A22,1,K$5)</f>
        <v>0</v>
      </c>
      <c r="L22" s="109">
        <f t="shared" si="1"/>
        <v>3672.5708047693893</v>
      </c>
      <c r="M22" s="109">
        <f>Royalty!AM23</f>
        <v>609.82396350041972</v>
      </c>
      <c r="N22" s="109">
        <f>Development!BK103</f>
        <v>0</v>
      </c>
      <c r="O22" s="109">
        <f t="shared" si="5"/>
        <v>620.83700468294728</v>
      </c>
      <c r="P22" s="109">
        <f>O22*IF(A22=Abandonment!$B$4,1,P$5)</f>
        <v>186.25110140488417</v>
      </c>
      <c r="Q22" s="109">
        <f>Exploration!Z48</f>
        <v>0</v>
      </c>
      <c r="R22" s="109">
        <f t="shared" si="2"/>
        <v>2876.4957398640854</v>
      </c>
      <c r="S22" s="109">
        <f t="shared" si="9"/>
        <v>0</v>
      </c>
      <c r="T22" s="109">
        <f t="shared" si="10"/>
        <v>0</v>
      </c>
      <c r="U22" s="109">
        <f t="shared" si="6"/>
        <v>0</v>
      </c>
      <c r="V22" s="109">
        <f>IF(Input!$B$38="Yes",R22,MAX(0,R22+U21)+S22)</f>
        <v>2876.4957398640854</v>
      </c>
      <c r="W22" s="189">
        <v>0.15</v>
      </c>
      <c r="X22" s="109">
        <f t="shared" si="7"/>
        <v>431.47436097961281</v>
      </c>
    </row>
    <row r="23" spans="1:24">
      <c r="A23" s="90">
        <f t="shared" si="8"/>
        <v>2035</v>
      </c>
      <c r="B23" s="109">
        <f>Revenue!Q23</f>
        <v>4744.1642155327918</v>
      </c>
      <c r="C23" s="109">
        <f>Operations!M31+Abandonment!G28</f>
        <v>520.38284147447939</v>
      </c>
      <c r="D23" s="109">
        <f>Development!BL104</f>
        <v>0</v>
      </c>
      <c r="E23" s="109">
        <f>IF($A23&lt;Production!$B$4,0,IF($A23=Production!$B$4,SUM(D$9:D23),D23))</f>
        <v>0</v>
      </c>
      <c r="F23" s="109">
        <f t="shared" si="3"/>
        <v>1641.9663840752446</v>
      </c>
      <c r="G23" s="109">
        <f>F23*IF(A23&gt;=Abandonment!$B$4,1,G$5)</f>
        <v>410.49159601881115</v>
      </c>
      <c r="H23" s="109">
        <f>Development!BM104</f>
        <v>0</v>
      </c>
      <c r="I23" s="109">
        <f>IF($A23&lt;Production!$B$4,0,IF($A23=Production!$B$4,SUM(H$9:H23),H23))</f>
        <v>0</v>
      </c>
      <c r="J23" s="109">
        <f t="shared" si="4"/>
        <v>0</v>
      </c>
      <c r="K23" s="109">
        <f>J23*IF(Abandonment!$B$4='Federal Tax'!A23,1,K$5)</f>
        <v>0</v>
      </c>
      <c r="L23" s="109">
        <f t="shared" si="1"/>
        <v>3813.2897780395015</v>
      </c>
      <c r="M23" s="109">
        <f>Royalty!AM24</f>
        <v>1329.7431099090877</v>
      </c>
      <c r="N23" s="109">
        <f>Development!BK104</f>
        <v>0</v>
      </c>
      <c r="O23" s="109">
        <f t="shared" si="5"/>
        <v>434.58590327806314</v>
      </c>
      <c r="P23" s="109">
        <f>O23*IF(A23=Abandonment!$B$4,1,P$5)</f>
        <v>130.37577098341893</v>
      </c>
      <c r="Q23" s="109">
        <f>Exploration!Z49</f>
        <v>0</v>
      </c>
      <c r="R23" s="109">
        <f t="shared" si="2"/>
        <v>2353.1708971469948</v>
      </c>
      <c r="S23" s="109">
        <f t="shared" si="9"/>
        <v>0</v>
      </c>
      <c r="T23" s="109">
        <f t="shared" si="10"/>
        <v>0</v>
      </c>
      <c r="U23" s="109">
        <f t="shared" si="6"/>
        <v>0</v>
      </c>
      <c r="V23" s="109">
        <f>IF(Input!$B$38="Yes",R23,MAX(0,R23+U22)+S23)</f>
        <v>2353.1708971469948</v>
      </c>
      <c r="W23" s="189">
        <v>0.15</v>
      </c>
      <c r="X23" s="109">
        <f t="shared" si="7"/>
        <v>352.97563457204922</v>
      </c>
    </row>
    <row r="24" spans="1:24">
      <c r="A24" s="90">
        <f t="shared" si="8"/>
        <v>2036</v>
      </c>
      <c r="B24" s="109">
        <f>Revenue!Q24</f>
        <v>4224.8250692278016</v>
      </c>
      <c r="C24" s="109">
        <f>Operations!M32+Abandonment!G29</f>
        <v>488.69966965892007</v>
      </c>
      <c r="D24" s="109">
        <f>Development!BL105</f>
        <v>0</v>
      </c>
      <c r="E24" s="109">
        <f>IF($A24&lt;Production!$B$4,0,IF($A24=Production!$B$4,SUM(D$9:D24),D24))</f>
        <v>0</v>
      </c>
      <c r="F24" s="109">
        <f t="shared" si="3"/>
        <v>1641.9663840752446</v>
      </c>
      <c r="G24" s="109">
        <f>F24*IF(A24&gt;=Abandonment!$B$4,1,G$5)</f>
        <v>410.49159601881115</v>
      </c>
      <c r="H24" s="109">
        <f>Development!BM105</f>
        <v>0</v>
      </c>
      <c r="I24" s="109">
        <f>IF($A24&lt;Production!$B$4,0,IF($A24=Production!$B$4,SUM(H$9:H24),H24))</f>
        <v>0</v>
      </c>
      <c r="J24" s="109">
        <f t="shared" si="4"/>
        <v>0</v>
      </c>
      <c r="K24" s="109">
        <f>J24*IF(Abandonment!$B$4='Federal Tax'!A24,1,K$5)</f>
        <v>0</v>
      </c>
      <c r="L24" s="109">
        <f t="shared" si="1"/>
        <v>3325.6338035500703</v>
      </c>
      <c r="M24" s="109">
        <f>Royalty!AM25</f>
        <v>1290.5394014110461</v>
      </c>
      <c r="N24" s="109">
        <f>Development!BK105</f>
        <v>0</v>
      </c>
      <c r="O24" s="109">
        <f t="shared" si="5"/>
        <v>304.21013229464421</v>
      </c>
      <c r="P24" s="109">
        <f>O24*IF(A24=Abandonment!$B$4,1,P$5)</f>
        <v>91.263039688393263</v>
      </c>
      <c r="Q24" s="109">
        <f>Exploration!Z50</f>
        <v>0</v>
      </c>
      <c r="R24" s="109">
        <f t="shared" si="2"/>
        <v>1943.8313624506309</v>
      </c>
      <c r="S24" s="109">
        <f t="shared" si="9"/>
        <v>0</v>
      </c>
      <c r="T24" s="109">
        <f t="shared" si="10"/>
        <v>0</v>
      </c>
      <c r="U24" s="109">
        <f t="shared" si="6"/>
        <v>0</v>
      </c>
      <c r="V24" s="109">
        <f>IF(Input!$B$38="Yes",R24,MAX(0,R24+U23)+S24)</f>
        <v>1943.8313624506309</v>
      </c>
      <c r="W24" s="189">
        <v>0.15</v>
      </c>
      <c r="X24" s="109">
        <f t="shared" si="7"/>
        <v>291.57470436759462</v>
      </c>
    </row>
    <row r="25" spans="1:24">
      <c r="A25" s="90">
        <f t="shared" si="8"/>
        <v>2037</v>
      </c>
      <c r="B25" s="109">
        <f>Revenue!Q25</f>
        <v>3687.8848585770402</v>
      </c>
      <c r="C25" s="109">
        <f>Operations!M33+Abandonment!G30</f>
        <v>456.89980930528867</v>
      </c>
      <c r="D25" s="109">
        <f>Development!BL106</f>
        <v>0</v>
      </c>
      <c r="E25" s="109">
        <f>IF($A25&lt;Production!$B$4,0,IF($A25=Production!$B$4,SUM(D$9:D25),D25))</f>
        <v>0</v>
      </c>
      <c r="F25" s="109">
        <f t="shared" si="3"/>
        <v>1231.4747880564335</v>
      </c>
      <c r="G25" s="109">
        <f>F25*IF(A25&gt;=Abandonment!$B$4,1,G$5)</f>
        <v>307.86869701410836</v>
      </c>
      <c r="H25" s="109">
        <f>Development!BM106</f>
        <v>0</v>
      </c>
      <c r="I25" s="109">
        <f>IF($A25&lt;Production!$B$4,0,IF($A25=Production!$B$4,SUM(H$9:H25),H25))</f>
        <v>0</v>
      </c>
      <c r="J25" s="109">
        <f t="shared" si="4"/>
        <v>0</v>
      </c>
      <c r="K25" s="109">
        <f>J25*IF(Abandonment!$B$4='Federal Tax'!A25,1,K$5)</f>
        <v>0</v>
      </c>
      <c r="L25" s="109">
        <f t="shared" si="1"/>
        <v>2923.116352257643</v>
      </c>
      <c r="M25" s="109">
        <f>Royalty!AM26</f>
        <v>1114.8532739194279</v>
      </c>
      <c r="N25" s="109">
        <f>Development!BK106</f>
        <v>0</v>
      </c>
      <c r="O25" s="109">
        <f t="shared" si="5"/>
        <v>212.94709260625095</v>
      </c>
      <c r="P25" s="109">
        <f>O25*IF(A25=Abandonment!$B$4,1,P$5)</f>
        <v>63.884127781875279</v>
      </c>
      <c r="Q25" s="109">
        <f>Exploration!Z51</f>
        <v>0</v>
      </c>
      <c r="R25" s="109">
        <f t="shared" si="2"/>
        <v>1744.3789505563398</v>
      </c>
      <c r="S25" s="109">
        <f t="shared" si="9"/>
        <v>0</v>
      </c>
      <c r="T25" s="109">
        <f t="shared" si="10"/>
        <v>0</v>
      </c>
      <c r="U25" s="109">
        <f t="shared" si="6"/>
        <v>0</v>
      </c>
      <c r="V25" s="109">
        <f>IF(Input!$B$38="Yes",R25,MAX(0,R25+U24)+S25)</f>
        <v>1744.3789505563398</v>
      </c>
      <c r="W25" s="189">
        <v>0.15</v>
      </c>
      <c r="X25" s="109">
        <f t="shared" si="7"/>
        <v>261.65684258345095</v>
      </c>
    </row>
    <row r="26" spans="1:24">
      <c r="A26" s="90">
        <f t="shared" si="8"/>
        <v>2038</v>
      </c>
      <c r="B26" s="109">
        <f>Revenue!Q26</f>
        <v>3228.7431936841967</v>
      </c>
      <c r="C26" s="109">
        <f>Operations!M34+Abandonment!G31</f>
        <v>430.29435095706208</v>
      </c>
      <c r="D26" s="109">
        <f>Development!BL107</f>
        <v>0</v>
      </c>
      <c r="E26" s="109">
        <f>IF($A26&lt;Production!$B$4,0,IF($A26=Production!$B$4,SUM(D$9:D26),D26))</f>
        <v>0</v>
      </c>
      <c r="F26" s="109">
        <f t="shared" si="3"/>
        <v>1231.4747880564335</v>
      </c>
      <c r="G26" s="109">
        <f>F26*IF(A26&gt;=Abandonment!$B$4,1,G$5)</f>
        <v>307.86869701410836</v>
      </c>
      <c r="H26" s="109">
        <f>Development!BM107</f>
        <v>0</v>
      </c>
      <c r="I26" s="109">
        <f>IF($A26&lt;Production!$B$4,0,IF($A26=Production!$B$4,SUM(H$9:H26),H26))</f>
        <v>0</v>
      </c>
      <c r="J26" s="109">
        <f t="shared" si="4"/>
        <v>0</v>
      </c>
      <c r="K26" s="109">
        <f>J26*IF(Abandonment!$B$4='Federal Tax'!A26,1,K$5)</f>
        <v>0</v>
      </c>
      <c r="L26" s="109">
        <f t="shared" si="1"/>
        <v>2490.580145713026</v>
      </c>
      <c r="M26" s="109">
        <f>Royalty!AM27</f>
        <v>964.39679267099984</v>
      </c>
      <c r="N26" s="109">
        <f>Development!BK107</f>
        <v>0</v>
      </c>
      <c r="O26" s="109">
        <f t="shared" si="5"/>
        <v>149.06296482437568</v>
      </c>
      <c r="P26" s="109">
        <f>O26*IF(A26=Abandonment!$B$4,1,P$5)</f>
        <v>44.718889447312705</v>
      </c>
      <c r="Q26" s="109">
        <f>Exploration!Z52</f>
        <v>0</v>
      </c>
      <c r="R26" s="109">
        <f t="shared" si="2"/>
        <v>1481.4644635947136</v>
      </c>
      <c r="S26" s="109">
        <f t="shared" si="9"/>
        <v>0</v>
      </c>
      <c r="T26" s="109">
        <f t="shared" si="10"/>
        <v>0</v>
      </c>
      <c r="U26" s="109">
        <f t="shared" si="6"/>
        <v>0</v>
      </c>
      <c r="V26" s="109">
        <f>IF(Input!$B$38="Yes",R26,MAX(0,R26+U25)+S26)</f>
        <v>1481.4644635947136</v>
      </c>
      <c r="W26" s="189">
        <v>0.15</v>
      </c>
      <c r="X26" s="109">
        <f t="shared" si="7"/>
        <v>222.21966953920705</v>
      </c>
    </row>
    <row r="27" spans="1:24">
      <c r="A27" s="90">
        <f t="shared" si="8"/>
        <v>2039</v>
      </c>
      <c r="B27" s="109">
        <f>Revenue!Q27</f>
        <v>2826.7646660705136</v>
      </c>
      <c r="C27" s="109">
        <f>Operations!M35+Abandonment!G32</f>
        <v>407.90962921049828</v>
      </c>
      <c r="D27" s="109">
        <f>Development!BL108</f>
        <v>0</v>
      </c>
      <c r="E27" s="109">
        <f>IF($A27&lt;Production!$B$4,0,IF($A27=Production!$B$4,SUM(D$9:D27),D27))</f>
        <v>0</v>
      </c>
      <c r="F27" s="109">
        <f t="shared" si="3"/>
        <v>923.60609104232503</v>
      </c>
      <c r="G27" s="109">
        <f>F27*IF(A27&gt;=Abandonment!$B$4,1,G$5)</f>
        <v>230.90152276058126</v>
      </c>
      <c r="H27" s="109">
        <f>Development!BM108</f>
        <v>0</v>
      </c>
      <c r="I27" s="109">
        <f>IF($A27&lt;Production!$B$4,0,IF($A27=Production!$B$4,SUM(H$9:H27),H27))</f>
        <v>0</v>
      </c>
      <c r="J27" s="109">
        <f t="shared" si="4"/>
        <v>0</v>
      </c>
      <c r="K27" s="109">
        <f>J27*IF(Abandonment!$B$4='Federal Tax'!A27,1,K$5)</f>
        <v>0</v>
      </c>
      <c r="L27" s="109">
        <f t="shared" si="1"/>
        <v>2187.953514099434</v>
      </c>
      <c r="M27" s="109">
        <f>Royalty!AM28</f>
        <v>832.322425878638</v>
      </c>
      <c r="N27" s="109">
        <f>Development!BK108</f>
        <v>0</v>
      </c>
      <c r="O27" s="109">
        <f t="shared" si="5"/>
        <v>104.34407537706298</v>
      </c>
      <c r="P27" s="109">
        <f>O27*IF(A27=Abandonment!$B$4,1,P$5)</f>
        <v>31.303222613118891</v>
      </c>
      <c r="Q27" s="109">
        <f>Exploration!Z53</f>
        <v>0</v>
      </c>
      <c r="R27" s="109">
        <f t="shared" si="2"/>
        <v>1324.327865607677</v>
      </c>
      <c r="S27" s="109">
        <f t="shared" si="9"/>
        <v>0</v>
      </c>
      <c r="T27" s="109">
        <f t="shared" si="10"/>
        <v>0</v>
      </c>
      <c r="U27" s="109">
        <f t="shared" si="6"/>
        <v>0</v>
      </c>
      <c r="V27" s="109">
        <f>IF(Input!$B$38="Yes",R27,MAX(0,R27+U26)+S27)</f>
        <v>1324.327865607677</v>
      </c>
      <c r="W27" s="189">
        <v>0.15</v>
      </c>
      <c r="X27" s="109">
        <f t="shared" si="7"/>
        <v>198.64917984115155</v>
      </c>
    </row>
    <row r="28" spans="1:24">
      <c r="A28" s="90">
        <f t="shared" si="8"/>
        <v>2040</v>
      </c>
      <c r="B28" s="109">
        <f>Revenue!Q28</f>
        <v>2481.0753866856876</v>
      </c>
      <c r="C28" s="109">
        <f>Operations!M36+Abandonment!G33</f>
        <v>389.40653100372413</v>
      </c>
      <c r="D28" s="109">
        <f>Development!BL109</f>
        <v>0</v>
      </c>
      <c r="E28" s="109">
        <f>IF($A28&lt;Production!$B$4,0,IF($A28=Production!$B$4,SUM(D$9:D28),D28))</f>
        <v>0</v>
      </c>
      <c r="F28" s="109">
        <f t="shared" si="3"/>
        <v>923.60609104232503</v>
      </c>
      <c r="G28" s="109">
        <f>F28*IF(A28&gt;=Abandonment!$B$4,1,G$5)</f>
        <v>230.90152276058126</v>
      </c>
      <c r="H28" s="109">
        <f>Development!BM109</f>
        <v>0</v>
      </c>
      <c r="I28" s="109">
        <f>IF($A28&lt;Production!$B$4,0,IF($A28=Production!$B$4,SUM(H$9:H28),H28))</f>
        <v>0</v>
      </c>
      <c r="J28" s="109">
        <f t="shared" si="4"/>
        <v>0</v>
      </c>
      <c r="K28" s="109">
        <f>J28*IF(Abandonment!$B$4='Federal Tax'!A28,1,K$5)</f>
        <v>0</v>
      </c>
      <c r="L28" s="109">
        <f t="shared" si="1"/>
        <v>1860.7673329213824</v>
      </c>
      <c r="M28" s="109">
        <f>Royalty!AM29</f>
        <v>718.45487090355675</v>
      </c>
      <c r="N28" s="109">
        <f>Development!BK109</f>
        <v>0</v>
      </c>
      <c r="O28" s="109">
        <f t="shared" si="5"/>
        <v>73.040852763944088</v>
      </c>
      <c r="P28" s="109">
        <f>O28*IF(A28=Abandonment!$B$4,1,P$5)</f>
        <v>21.912255829183227</v>
      </c>
      <c r="Q28" s="109">
        <f>Exploration!Z54</f>
        <v>0</v>
      </c>
      <c r="R28" s="109">
        <f t="shared" si="2"/>
        <v>1120.4002061886422</v>
      </c>
      <c r="S28" s="109">
        <f t="shared" si="9"/>
        <v>0</v>
      </c>
      <c r="T28" s="109">
        <f t="shared" si="10"/>
        <v>0</v>
      </c>
      <c r="U28" s="109">
        <f t="shared" si="6"/>
        <v>0</v>
      </c>
      <c r="V28" s="109">
        <f>IF(Input!$B$38="Yes",R28,MAX(0,R28+U27)+S28)</f>
        <v>1120.4002061886422</v>
      </c>
      <c r="W28" s="189">
        <v>0.15</v>
      </c>
      <c r="X28" s="109">
        <f t="shared" si="7"/>
        <v>168.06003092829633</v>
      </c>
    </row>
    <row r="29" spans="1:24">
      <c r="A29" s="90">
        <f t="shared" si="8"/>
        <v>2041</v>
      </c>
      <c r="B29" s="109">
        <f>Revenue!Q29</f>
        <v>2165.7512918561383</v>
      </c>
      <c r="C29" s="109">
        <f>Operations!M37+Abandonment!G34</f>
        <v>373.80407713396335</v>
      </c>
      <c r="D29" s="109">
        <f>Development!BL110</f>
        <v>0</v>
      </c>
      <c r="E29" s="109">
        <f>IF($A29&lt;Production!$B$4,0,IF($A29=Production!$B$4,SUM(D$9:D29),D29))</f>
        <v>0</v>
      </c>
      <c r="F29" s="109">
        <f t="shared" si="3"/>
        <v>692.70456828174383</v>
      </c>
      <c r="G29" s="109">
        <f>F29*IF(A29&gt;=Abandonment!$B$4,1,G$5)</f>
        <v>173.17614207043596</v>
      </c>
      <c r="H29" s="109">
        <f>Development!BM110</f>
        <v>0</v>
      </c>
      <c r="I29" s="109">
        <f>IF($A29&lt;Production!$B$4,0,IF($A29=Production!$B$4,SUM(H$9:H29),H29))</f>
        <v>0</v>
      </c>
      <c r="J29" s="109">
        <f t="shared" si="4"/>
        <v>0</v>
      </c>
      <c r="K29" s="109">
        <f>J29*IF(Abandonment!$B$4='Federal Tax'!A29,1,K$5)</f>
        <v>0</v>
      </c>
      <c r="L29" s="109">
        <f t="shared" si="1"/>
        <v>1618.7710726517389</v>
      </c>
      <c r="M29" s="109">
        <f>Royalty!AM30</f>
        <v>614.09838245307242</v>
      </c>
      <c r="N29" s="109">
        <f>Development!BK110</f>
        <v>0</v>
      </c>
      <c r="O29" s="109">
        <f t="shared" si="5"/>
        <v>51.128596934760864</v>
      </c>
      <c r="P29" s="109">
        <f>O29*IF(A29=Abandonment!$B$4,1,P$5)</f>
        <v>15.338579080428259</v>
      </c>
      <c r="Q29" s="109">
        <f>Exploration!Z55</f>
        <v>0</v>
      </c>
      <c r="R29" s="109">
        <f t="shared" si="2"/>
        <v>989.33411111823818</v>
      </c>
      <c r="S29" s="109">
        <f t="shared" si="9"/>
        <v>0</v>
      </c>
      <c r="T29" s="109">
        <f t="shared" si="10"/>
        <v>0</v>
      </c>
      <c r="U29" s="109">
        <f t="shared" si="6"/>
        <v>0</v>
      </c>
      <c r="V29" s="109">
        <f>IF(Input!$B$38="Yes",R29,MAX(0,R29+U28)+S29)</f>
        <v>989.33411111823818</v>
      </c>
      <c r="W29" s="189">
        <v>0.15</v>
      </c>
      <c r="X29" s="109">
        <f t="shared" si="7"/>
        <v>148.40011666773572</v>
      </c>
    </row>
    <row r="30" spans="1:24">
      <c r="A30" s="90">
        <f t="shared" si="8"/>
        <v>2042</v>
      </c>
      <c r="B30" s="109">
        <f>Revenue!Q30</f>
        <v>1896.1152560200517</v>
      </c>
      <c r="C30" s="109">
        <f>Operations!M38+Abandonment!G35</f>
        <v>361.34426446799074</v>
      </c>
      <c r="D30" s="109">
        <f>Development!BL111</f>
        <v>0</v>
      </c>
      <c r="E30" s="109">
        <f>IF($A30&lt;Production!$B$4,0,IF($A30=Production!$B$4,SUM(D$9:D30),D30))</f>
        <v>0</v>
      </c>
      <c r="F30" s="109">
        <f t="shared" si="3"/>
        <v>692.70456828174383</v>
      </c>
      <c r="G30" s="109">
        <f>F30*IF(A30&gt;=Abandonment!$B$4,1,G$5)</f>
        <v>173.17614207043596</v>
      </c>
      <c r="H30" s="109">
        <f>Development!BM111</f>
        <v>0</v>
      </c>
      <c r="I30" s="109">
        <f>IF($A30&lt;Production!$B$4,0,IF($A30=Production!$B$4,SUM(H$9:H30),H30))</f>
        <v>0</v>
      </c>
      <c r="J30" s="109">
        <f t="shared" si="4"/>
        <v>0</v>
      </c>
      <c r="K30" s="109">
        <f>J30*IF(Abandonment!$B$4='Federal Tax'!A30,1,K$5)</f>
        <v>0</v>
      </c>
      <c r="L30" s="109">
        <f t="shared" si="1"/>
        <v>1361.5948494816248</v>
      </c>
      <c r="M30" s="109">
        <f>Royalty!AM31</f>
        <v>524.52279778684158</v>
      </c>
      <c r="N30" s="109">
        <f>Development!BK111</f>
        <v>0</v>
      </c>
      <c r="O30" s="109">
        <f t="shared" si="5"/>
        <v>35.790017854332604</v>
      </c>
      <c r="P30" s="109">
        <f>O30*IF(A30=Abandonment!$B$4,1,P$5)</f>
        <v>10.737005356299781</v>
      </c>
      <c r="Q30" s="109">
        <f>Exploration!Z56</f>
        <v>0</v>
      </c>
      <c r="R30" s="109">
        <f t="shared" si="2"/>
        <v>826.33504633848349</v>
      </c>
      <c r="S30" s="109">
        <f t="shared" si="9"/>
        <v>0</v>
      </c>
      <c r="T30" s="109">
        <f t="shared" si="10"/>
        <v>0</v>
      </c>
      <c r="U30" s="109">
        <f t="shared" si="6"/>
        <v>0</v>
      </c>
      <c r="V30" s="109">
        <f>IF(Input!$B$38="Yes",R30,MAX(0,R30+U29)+S30)</f>
        <v>826.33504633848349</v>
      </c>
      <c r="W30" s="189">
        <v>0.15</v>
      </c>
      <c r="X30" s="109">
        <f t="shared" si="7"/>
        <v>123.95025695077251</v>
      </c>
    </row>
    <row r="31" spans="1:24">
      <c r="A31" s="90">
        <f t="shared" si="8"/>
        <v>2043</v>
      </c>
      <c r="B31" s="109">
        <f>Revenue!Q31</f>
        <v>1660.0489066455534</v>
      </c>
      <c r="C31" s="109">
        <f>Operations!M39+Abandonment!G36</f>
        <v>351.45806232704751</v>
      </c>
      <c r="D31" s="109">
        <f>Development!BL112</f>
        <v>0</v>
      </c>
      <c r="E31" s="109">
        <f>IF($A31&lt;Production!$B$4,0,IF($A31=Production!$B$4,SUM(D$9:D31),D31))</f>
        <v>0</v>
      </c>
      <c r="F31" s="109">
        <f t="shared" si="3"/>
        <v>519.52842621130787</v>
      </c>
      <c r="G31" s="109">
        <f>F31*IF(A31&gt;=Abandonment!$B$4,1,G$5)</f>
        <v>129.88210655282697</v>
      </c>
      <c r="H31" s="109">
        <f>Development!BM112</f>
        <v>0</v>
      </c>
      <c r="I31" s="109">
        <f>IF($A31&lt;Production!$B$4,0,IF($A31=Production!$B$4,SUM(H$9:H31),H31))</f>
        <v>0</v>
      </c>
      <c r="J31" s="109">
        <f t="shared" si="4"/>
        <v>0</v>
      </c>
      <c r="K31" s="109">
        <f>J31*IF(Abandonment!$B$4='Federal Tax'!A31,1,K$5)</f>
        <v>0</v>
      </c>
      <c r="L31" s="109">
        <f t="shared" si="1"/>
        <v>1178.7087377656787</v>
      </c>
      <c r="M31" s="109">
        <f>Royalty!AM32</f>
        <v>445.70576333003038</v>
      </c>
      <c r="N31" s="109">
        <f>Development!BK112</f>
        <v>0</v>
      </c>
      <c r="O31" s="109">
        <f t="shared" si="5"/>
        <v>25.053012498032821</v>
      </c>
      <c r="P31" s="109">
        <f>O31*IF(A31=Abandonment!$B$4,1,P$5)</f>
        <v>7.515903749409846</v>
      </c>
      <c r="Q31" s="109">
        <f>Exploration!Z57</f>
        <v>0</v>
      </c>
      <c r="R31" s="109">
        <f t="shared" si="2"/>
        <v>725.48707068623855</v>
      </c>
      <c r="S31" s="109">
        <f t="shared" si="9"/>
        <v>0</v>
      </c>
      <c r="T31" s="109">
        <f t="shared" si="10"/>
        <v>0</v>
      </c>
      <c r="U31" s="109">
        <f t="shared" si="6"/>
        <v>0</v>
      </c>
      <c r="V31" s="109">
        <f>IF(Input!$B$38="Yes",R31,MAX(0,R31+U30)+S31)</f>
        <v>725.48707068623855</v>
      </c>
      <c r="W31" s="189">
        <v>0.15</v>
      </c>
      <c r="X31" s="109">
        <f t="shared" si="7"/>
        <v>108.82306060293578</v>
      </c>
    </row>
    <row r="32" spans="1:24">
      <c r="A32" s="90">
        <f t="shared" si="8"/>
        <v>2044</v>
      </c>
      <c r="B32" s="109">
        <f>Revenue!Q32</f>
        <v>1457.0390426940562</v>
      </c>
      <c r="C32" s="109">
        <f>Operations!M40+Abandonment!G37</f>
        <v>343.94917088795296</v>
      </c>
      <c r="D32" s="109">
        <f>Development!BL113</f>
        <v>0</v>
      </c>
      <c r="E32" s="109">
        <f>IF($A32&lt;Production!$B$4,0,IF($A32=Production!$B$4,SUM(D$9:D32),D32))</f>
        <v>0</v>
      </c>
      <c r="F32" s="109">
        <f t="shared" si="3"/>
        <v>519.52842621130787</v>
      </c>
      <c r="G32" s="109">
        <f>F32*IF(A32&gt;=Abandonment!$B$4,1,G$5)</f>
        <v>129.88210655282697</v>
      </c>
      <c r="H32" s="109">
        <f>Development!BM113</f>
        <v>0</v>
      </c>
      <c r="I32" s="109">
        <f>IF($A32&lt;Production!$B$4,0,IF($A32=Production!$B$4,SUM(H$9:H32),H32))</f>
        <v>0</v>
      </c>
      <c r="J32" s="109">
        <f t="shared" si="4"/>
        <v>0</v>
      </c>
      <c r="K32" s="109">
        <f>J32*IF(Abandonment!$B$4='Federal Tax'!A32,1,K$5)</f>
        <v>0</v>
      </c>
      <c r="L32" s="109">
        <f t="shared" si="1"/>
        <v>983.20776525327631</v>
      </c>
      <c r="M32" s="109">
        <f>Royalty!AM33</f>
        <v>377.54323415105779</v>
      </c>
      <c r="N32" s="109">
        <f>Development!BK113</f>
        <v>0</v>
      </c>
      <c r="O32" s="109">
        <f t="shared" si="5"/>
        <v>17.537108748622977</v>
      </c>
      <c r="P32" s="109">
        <f>O32*IF(A32=Abandonment!$B$4,1,P$5)</f>
        <v>5.2611326245868932</v>
      </c>
      <c r="Q32" s="109">
        <f>Exploration!Z58</f>
        <v>0</v>
      </c>
      <c r="R32" s="109">
        <f t="shared" si="2"/>
        <v>600.40339847763153</v>
      </c>
      <c r="S32" s="109">
        <f t="shared" si="9"/>
        <v>0</v>
      </c>
      <c r="T32" s="109">
        <f t="shared" si="10"/>
        <v>0</v>
      </c>
      <c r="U32" s="109">
        <f t="shared" si="6"/>
        <v>0</v>
      </c>
      <c r="V32" s="109">
        <f>IF(Input!$B$38="Yes",R32,MAX(0,R32+U31)+S32)</f>
        <v>600.40339847763153</v>
      </c>
      <c r="W32" s="189">
        <v>0.15</v>
      </c>
      <c r="X32" s="109">
        <f t="shared" si="7"/>
        <v>90.060509771644732</v>
      </c>
    </row>
    <row r="33" spans="1:24">
      <c r="A33" s="90">
        <f t="shared" si="8"/>
        <v>2045</v>
      </c>
      <c r="B33" s="109">
        <f>Revenue!Q33</f>
        <v>1271.8614702049981</v>
      </c>
      <c r="C33" s="109">
        <f>Operations!M41+Abandonment!G38</f>
        <v>338.24443275876462</v>
      </c>
      <c r="D33" s="109">
        <f>Development!BL114</f>
        <v>0</v>
      </c>
      <c r="E33" s="109">
        <f>IF($A33&lt;Production!$B$4,0,IF($A33=Production!$B$4,SUM(D$9:D33),D33))</f>
        <v>0</v>
      </c>
      <c r="F33" s="109">
        <f t="shared" si="3"/>
        <v>389.64631965848093</v>
      </c>
      <c r="G33" s="109">
        <f>F33*IF(A33&gt;=Abandonment!$B$4,1,G$5)</f>
        <v>97.411579914620233</v>
      </c>
      <c r="H33" s="109">
        <f>Development!BM114</f>
        <v>0</v>
      </c>
      <c r="I33" s="109">
        <f>IF($A33&lt;Production!$B$4,0,IF($A33=Production!$B$4,SUM(H$9:H33),H33))</f>
        <v>0</v>
      </c>
      <c r="J33" s="109">
        <f t="shared" si="4"/>
        <v>0</v>
      </c>
      <c r="K33" s="109">
        <f>J33*IF(Abandonment!$B$4='Federal Tax'!A33,1,K$5)</f>
        <v>0</v>
      </c>
      <c r="L33" s="109">
        <f t="shared" si="1"/>
        <v>836.20545753161332</v>
      </c>
      <c r="M33" s="109">
        <f>Royalty!AM34</f>
        <v>314.92740795962493</v>
      </c>
      <c r="N33" s="109">
        <f>Development!BK114</f>
        <v>0</v>
      </c>
      <c r="O33" s="109">
        <f t="shared" si="5"/>
        <v>12.275976124036085</v>
      </c>
      <c r="P33" s="109">
        <f>O33*IF(A33=Abandonment!$B$4,1,P$5)</f>
        <v>3.6827928372108252</v>
      </c>
      <c r="Q33" s="109">
        <f>Exploration!Z59</f>
        <v>0</v>
      </c>
      <c r="R33" s="109">
        <f t="shared" si="2"/>
        <v>517.59525673477754</v>
      </c>
      <c r="S33" s="109">
        <f t="shared" si="9"/>
        <v>0</v>
      </c>
      <c r="T33" s="109">
        <f t="shared" si="10"/>
        <v>0</v>
      </c>
      <c r="U33" s="109">
        <f t="shared" si="6"/>
        <v>0</v>
      </c>
      <c r="V33" s="109">
        <f>IF(Input!$B$38="Yes",R33,MAX(0,R33+U32)+S33)</f>
        <v>517.59525673477754</v>
      </c>
      <c r="W33" s="189">
        <v>0.15</v>
      </c>
      <c r="X33" s="109">
        <f t="shared" si="7"/>
        <v>77.63928851021663</v>
      </c>
    </row>
    <row r="34" spans="1:24">
      <c r="A34" s="90">
        <f t="shared" si="8"/>
        <v>2046</v>
      </c>
      <c r="B34" s="109">
        <f>Revenue!Q34</f>
        <v>1113.5147171644735</v>
      </c>
      <c r="C34" s="109">
        <f>Operations!M42+Abandonment!G39</f>
        <v>334.48898481630653</v>
      </c>
      <c r="D34" s="109">
        <f>Development!BL115</f>
        <v>0</v>
      </c>
      <c r="E34" s="109">
        <f>IF($A34&lt;Production!$B$4,0,IF($A34=Production!$B$4,SUM(D$9:D34),D34))</f>
        <v>0</v>
      </c>
      <c r="F34" s="109">
        <f t="shared" si="3"/>
        <v>389.64631965848093</v>
      </c>
      <c r="G34" s="109">
        <f>F34*IF(A34&gt;=Abandonment!$B$4,1,G$5)</f>
        <v>97.411579914620233</v>
      </c>
      <c r="H34" s="109">
        <f>Development!BM115</f>
        <v>0</v>
      </c>
      <c r="I34" s="109">
        <f>IF($A34&lt;Production!$B$4,0,IF($A34=Production!$B$4,SUM(H$9:H34),H34))</f>
        <v>0</v>
      </c>
      <c r="J34" s="109">
        <f t="shared" si="4"/>
        <v>0</v>
      </c>
      <c r="K34" s="109">
        <f>J34*IF(Abandonment!$B$4='Federal Tax'!A34,1,K$5)</f>
        <v>0</v>
      </c>
      <c r="L34" s="109">
        <f t="shared" si="1"/>
        <v>681.61415243354668</v>
      </c>
      <c r="M34" s="109">
        <f>Royalty!AM35</f>
        <v>260.95189185328769</v>
      </c>
      <c r="N34" s="109">
        <f>Development!BK115</f>
        <v>0</v>
      </c>
      <c r="O34" s="109">
        <f t="shared" si="5"/>
        <v>8.5931832868252584</v>
      </c>
      <c r="P34" s="109">
        <f>O34*IF(A34=Abandonment!$B$4,1,P$5)</f>
        <v>2.5779549860475774</v>
      </c>
      <c r="Q34" s="109">
        <f>Exploration!Z60</f>
        <v>0</v>
      </c>
      <c r="R34" s="109">
        <f t="shared" si="2"/>
        <v>418.0843055942114</v>
      </c>
      <c r="S34" s="109">
        <f t="shared" si="9"/>
        <v>0</v>
      </c>
      <c r="T34" s="109">
        <f t="shared" si="10"/>
        <v>0</v>
      </c>
      <c r="U34" s="109">
        <f t="shared" si="6"/>
        <v>0</v>
      </c>
      <c r="V34" s="109">
        <f>IF(Input!$B$38="Yes",R34,MAX(0,R34+U33)+S34)</f>
        <v>418.0843055942114</v>
      </c>
      <c r="W34" s="189">
        <v>0.15</v>
      </c>
      <c r="X34" s="109">
        <f t="shared" si="7"/>
        <v>62.71264583913171</v>
      </c>
    </row>
    <row r="35" spans="1:24">
      <c r="A35" s="90">
        <f t="shared" si="8"/>
        <v>2047</v>
      </c>
      <c r="B35" s="109">
        <f>Revenue!Q35</f>
        <v>974.88213487749533</v>
      </c>
      <c r="C35" s="109">
        <f>Operations!M43+Abandonment!G40</f>
        <v>332.35176966076489</v>
      </c>
      <c r="D35" s="109">
        <f>Development!BL116</f>
        <v>0</v>
      </c>
      <c r="E35" s="109">
        <f>IF($A35&lt;Production!$B$4,0,IF($A35=Production!$B$4,SUM(D$9:D35),D35))</f>
        <v>0</v>
      </c>
      <c r="F35" s="109">
        <f t="shared" si="3"/>
        <v>292.2347397438607</v>
      </c>
      <c r="G35" s="109">
        <f>F35*IF(A35&gt;=Abandonment!$B$4,1,G$5)</f>
        <v>73.058684935965175</v>
      </c>
      <c r="H35" s="109">
        <f>Development!BM116</f>
        <v>0</v>
      </c>
      <c r="I35" s="109">
        <f>IF($A35&lt;Production!$B$4,0,IF($A35=Production!$B$4,SUM(H$9:H35),H35))</f>
        <v>0</v>
      </c>
      <c r="J35" s="109">
        <f t="shared" si="4"/>
        <v>0</v>
      </c>
      <c r="K35" s="109">
        <f>J35*IF(Abandonment!$B$4='Federal Tax'!A35,1,K$5)</f>
        <v>0</v>
      </c>
      <c r="L35" s="109">
        <f t="shared" si="1"/>
        <v>569.47168028076521</v>
      </c>
      <c r="M35" s="109">
        <f>Royalty!AM36</f>
        <v>213.25331588772886</v>
      </c>
      <c r="N35" s="109">
        <f>Development!BK116</f>
        <v>0</v>
      </c>
      <c r="O35" s="109">
        <f t="shared" si="5"/>
        <v>6.0152283007776806</v>
      </c>
      <c r="P35" s="109">
        <f>O35*IF(A35=Abandonment!$B$4,1,P$5)</f>
        <v>1.8045684902333041</v>
      </c>
      <c r="Q35" s="109">
        <f>Exploration!Z61</f>
        <v>0</v>
      </c>
      <c r="R35" s="109">
        <f t="shared" si="2"/>
        <v>354.41379590280309</v>
      </c>
      <c r="S35" s="109">
        <f t="shared" si="9"/>
        <v>0</v>
      </c>
      <c r="T35" s="109">
        <f t="shared" si="10"/>
        <v>0</v>
      </c>
      <c r="U35" s="109">
        <f t="shared" si="6"/>
        <v>0</v>
      </c>
      <c r="V35" s="109">
        <f>IF(Input!$B$38="Yes",R35,MAX(0,R35+U34)+S35)</f>
        <v>354.41379590280309</v>
      </c>
      <c r="W35" s="189">
        <v>0.15</v>
      </c>
      <c r="X35" s="109">
        <f t="shared" si="7"/>
        <v>53.162069385420459</v>
      </c>
    </row>
    <row r="36" spans="1:24">
      <c r="A36" s="90">
        <f t="shared" si="8"/>
        <v>2048</v>
      </c>
      <c r="B36" s="109">
        <f>Revenue!Q36</f>
        <v>855.66234034135948</v>
      </c>
      <c r="C36" s="109">
        <f>Operations!M44+Abandonment!G41</f>
        <v>331.72071358721138</v>
      </c>
      <c r="D36" s="109">
        <f>Development!BL117</f>
        <v>0</v>
      </c>
      <c r="E36" s="109">
        <f>IF($A36&lt;Production!$B$4,0,IF($A36=Production!$B$4,SUM(D$9:D36),D36))</f>
        <v>0</v>
      </c>
      <c r="F36" s="109">
        <f t="shared" si="3"/>
        <v>292.2347397438607</v>
      </c>
      <c r="G36" s="109">
        <f>F36*IF(A36&gt;=Abandonment!$B$4,1,G$5)</f>
        <v>73.058684935965175</v>
      </c>
      <c r="H36" s="109">
        <f>Development!BM117</f>
        <v>0</v>
      </c>
      <c r="I36" s="109">
        <f>IF($A36&lt;Production!$B$4,0,IF($A36=Production!$B$4,SUM(H$9:H36),H36))</f>
        <v>0</v>
      </c>
      <c r="J36" s="109">
        <f t="shared" si="4"/>
        <v>0</v>
      </c>
      <c r="K36" s="109">
        <f>J36*IF(Abandonment!$B$4='Federal Tax'!A36,1,K$5)</f>
        <v>0</v>
      </c>
      <c r="L36" s="109">
        <f t="shared" si="1"/>
        <v>450.88294181818287</v>
      </c>
      <c r="M36" s="109">
        <f>Royalty!AM37</f>
        <v>171.76934438839942</v>
      </c>
      <c r="N36" s="109">
        <f>Development!BK117</f>
        <v>0</v>
      </c>
      <c r="O36" s="109">
        <f t="shared" si="5"/>
        <v>4.2106598105443762</v>
      </c>
      <c r="P36" s="109">
        <f>O36*IF(A36=Abandonment!$B$4,1,P$5)</f>
        <v>1.2631979431633129</v>
      </c>
      <c r="Q36" s="109">
        <f>Exploration!Z62</f>
        <v>0</v>
      </c>
      <c r="R36" s="109">
        <f t="shared" si="2"/>
        <v>277.85039948662012</v>
      </c>
      <c r="S36" s="109">
        <f t="shared" si="9"/>
        <v>0</v>
      </c>
      <c r="T36" s="109">
        <f t="shared" si="10"/>
        <v>0</v>
      </c>
      <c r="U36" s="109">
        <f t="shared" si="6"/>
        <v>0</v>
      </c>
      <c r="V36" s="109">
        <f>IF(Input!$B$38="Yes",R36,MAX(0,R36+U35)+S36)</f>
        <v>277.85039948662012</v>
      </c>
      <c r="W36" s="189">
        <v>0.15</v>
      </c>
      <c r="X36" s="109">
        <f t="shared" si="7"/>
        <v>41.677559922993019</v>
      </c>
    </row>
    <row r="37" spans="1:24">
      <c r="A37" s="90">
        <f t="shared" si="8"/>
        <v>2049</v>
      </c>
      <c r="B37" s="109">
        <f>Revenue!Q37</f>
        <v>746.91475677506548</v>
      </c>
      <c r="C37" s="109">
        <f>Operations!M45+Abandonment!G42</f>
        <v>332.26252526940027</v>
      </c>
      <c r="D37" s="109">
        <f>Development!BL118</f>
        <v>0</v>
      </c>
      <c r="E37" s="109">
        <f>IF($A37&lt;Production!$B$4,0,IF($A37=Production!$B$4,SUM(D$9:D37),D37))</f>
        <v>0</v>
      </c>
      <c r="F37" s="109">
        <f t="shared" si="3"/>
        <v>219.17605480789553</v>
      </c>
      <c r="G37" s="109">
        <f>F37*IF(A37&gt;=Abandonment!$B$4,1,G$5)</f>
        <v>54.794013701973881</v>
      </c>
      <c r="H37" s="109">
        <f>Development!BM118</f>
        <v>0</v>
      </c>
      <c r="I37" s="109">
        <f>IF($A37&lt;Production!$B$4,0,IF($A37=Production!$B$4,SUM(H$9:H37),H37))</f>
        <v>0</v>
      </c>
      <c r="J37" s="109">
        <f t="shared" si="4"/>
        <v>0</v>
      </c>
      <c r="K37" s="109">
        <f>J37*IF(Abandonment!$B$4='Federal Tax'!A37,1,K$5)</f>
        <v>0</v>
      </c>
      <c r="L37" s="109">
        <f t="shared" si="1"/>
        <v>359.85821780369133</v>
      </c>
      <c r="M37" s="109">
        <f>Royalty!AM38</f>
        <v>133.49909264255379</v>
      </c>
      <c r="N37" s="109">
        <f>Development!BK118</f>
        <v>0</v>
      </c>
      <c r="O37" s="109">
        <f t="shared" si="5"/>
        <v>2.9474618673810635</v>
      </c>
      <c r="P37" s="109">
        <f>O37*IF(A37=Abandonment!$B$4,1,P$5)</f>
        <v>0.88423856021431901</v>
      </c>
      <c r="Q37" s="109">
        <f>Exploration!Z63</f>
        <v>0</v>
      </c>
      <c r="R37" s="109">
        <f t="shared" si="2"/>
        <v>225.47488660092321</v>
      </c>
      <c r="S37" s="109">
        <f t="shared" si="9"/>
        <v>0</v>
      </c>
      <c r="T37" s="109">
        <f t="shared" si="10"/>
        <v>0</v>
      </c>
      <c r="U37" s="109">
        <f t="shared" si="6"/>
        <v>0</v>
      </c>
      <c r="V37" s="109">
        <f>IF(Input!$B$38="Yes",R37,MAX(0,R37+U36)+S37)</f>
        <v>225.47488660092321</v>
      </c>
      <c r="W37" s="189">
        <v>0.15</v>
      </c>
      <c r="X37" s="109">
        <f t="shared" si="7"/>
        <v>33.821232990138483</v>
      </c>
    </row>
    <row r="38" spans="1:24">
      <c r="A38" s="90">
        <f t="shared" si="8"/>
        <v>2050</v>
      </c>
      <c r="B38" s="109">
        <f>Revenue!Q38</f>
        <v>653.92386955657173</v>
      </c>
      <c r="C38" s="109">
        <f>Operations!M46+Abandonment!G43</f>
        <v>334.06583870955592</v>
      </c>
      <c r="D38" s="109">
        <f>Development!BL119</f>
        <v>0</v>
      </c>
      <c r="E38" s="109">
        <f>IF($A38&lt;Production!$B$4,0,IF($A38=Production!$B$4,SUM(D$9:D38),D38))</f>
        <v>0</v>
      </c>
      <c r="F38" s="109">
        <f t="shared" si="3"/>
        <v>219.17605480789553</v>
      </c>
      <c r="G38" s="109">
        <f>F38*IF(A38&gt;=Abandonment!$B$4,1,G$5)</f>
        <v>54.794013701973881</v>
      </c>
      <c r="H38" s="109">
        <f>Development!BM119</f>
        <v>0</v>
      </c>
      <c r="I38" s="109">
        <f>IF($A38&lt;Production!$B$4,0,IF($A38=Production!$B$4,SUM(H$9:H38),H38))</f>
        <v>0</v>
      </c>
      <c r="J38" s="109">
        <f t="shared" si="4"/>
        <v>0</v>
      </c>
      <c r="K38" s="109">
        <f>J38*IF(Abandonment!$B$4='Federal Tax'!A38,1,K$5)</f>
        <v>0</v>
      </c>
      <c r="L38" s="109">
        <f t="shared" si="1"/>
        <v>265.06401714504193</v>
      </c>
      <c r="M38" s="109">
        <f>Royalty!AM39</f>
        <v>100.25800644162105</v>
      </c>
      <c r="N38" s="109">
        <f>Development!BK119</f>
        <v>0</v>
      </c>
      <c r="O38" s="109">
        <f t="shared" si="5"/>
        <v>2.0632233071667443</v>
      </c>
      <c r="P38" s="109">
        <f>O38*IF(A38=Abandonment!$B$4,1,P$5)</f>
        <v>0.61896699215002327</v>
      </c>
      <c r="Q38" s="109">
        <f>Exploration!Z64</f>
        <v>0</v>
      </c>
      <c r="R38" s="109">
        <f t="shared" si="2"/>
        <v>164.18704371127086</v>
      </c>
      <c r="S38" s="109">
        <f t="shared" si="9"/>
        <v>0</v>
      </c>
      <c r="T38" s="109">
        <f t="shared" si="10"/>
        <v>0</v>
      </c>
      <c r="U38" s="109">
        <f t="shared" si="6"/>
        <v>0</v>
      </c>
      <c r="V38" s="109">
        <f>IF(Input!$B$38="Yes",R38,MAX(0,R38+U37)+S38)</f>
        <v>164.18704371127086</v>
      </c>
      <c r="W38" s="189">
        <v>0.15</v>
      </c>
      <c r="X38" s="109">
        <f t="shared" si="7"/>
        <v>24.628056556690627</v>
      </c>
    </row>
    <row r="39" spans="1:24">
      <c r="A39" s="90">
        <f t="shared" si="8"/>
        <v>2051</v>
      </c>
      <c r="B39" s="109">
        <f>Revenue!Q39</f>
        <v>572.51034779677798</v>
      </c>
      <c r="C39" s="109">
        <f>Operations!M47+Abandonment!G44</f>
        <v>336.93973956149796</v>
      </c>
      <c r="D39" s="109">
        <f>Development!BL120</f>
        <v>0</v>
      </c>
      <c r="E39" s="109">
        <f>IF($A39&lt;Production!$B$4,0,IF($A39=Production!$B$4,SUM(D$9:D39),D39))</f>
        <v>0</v>
      </c>
      <c r="F39" s="109">
        <f t="shared" si="3"/>
        <v>164.38204110592164</v>
      </c>
      <c r="G39" s="109">
        <f>F39*IF(A39&gt;=Abandonment!$B$4,1,G$5)</f>
        <v>41.095510276480411</v>
      </c>
      <c r="H39" s="109">
        <f>Development!BM120</f>
        <v>0</v>
      </c>
      <c r="I39" s="109">
        <f>IF($A39&lt;Production!$B$4,0,IF($A39=Production!$B$4,SUM(H$9:H39),H39))</f>
        <v>0</v>
      </c>
      <c r="J39" s="109">
        <f t="shared" si="4"/>
        <v>0</v>
      </c>
      <c r="K39" s="109">
        <f>J39*IF(Abandonment!$B$4='Federal Tax'!A39,1,K$5)</f>
        <v>0</v>
      </c>
      <c r="L39" s="109">
        <f t="shared" si="1"/>
        <v>194.47509795879961</v>
      </c>
      <c r="M39" s="109">
        <f>Royalty!AM40</f>
        <v>70.656821997695559</v>
      </c>
      <c r="N39" s="109">
        <f>Development!BK120</f>
        <v>0</v>
      </c>
      <c r="O39" s="109">
        <f t="shared" si="5"/>
        <v>1.4442563150167209</v>
      </c>
      <c r="P39" s="109">
        <f>O39*IF(A39=Abandonment!$B$4,1,P$5)</f>
        <v>0.43327689450501627</v>
      </c>
      <c r="Q39" s="109">
        <f>Exploration!Z65</f>
        <v>0</v>
      </c>
      <c r="R39" s="109">
        <f t="shared" si="2"/>
        <v>123.38499906659904</v>
      </c>
      <c r="S39" s="109">
        <f t="shared" si="9"/>
        <v>0</v>
      </c>
      <c r="T39" s="109">
        <f t="shared" si="10"/>
        <v>0</v>
      </c>
      <c r="U39" s="109">
        <f t="shared" si="6"/>
        <v>0</v>
      </c>
      <c r="V39" s="109">
        <f>IF(Input!$B$38="Yes",R39,MAX(0,R39+U38)+S39)</f>
        <v>123.38499906659904</v>
      </c>
      <c r="W39" s="189">
        <v>0.15</v>
      </c>
      <c r="X39" s="109">
        <f t="shared" si="7"/>
        <v>18.507749859989854</v>
      </c>
    </row>
    <row r="40" spans="1:24">
      <c r="A40" s="90">
        <f t="shared" si="8"/>
        <v>2052</v>
      </c>
      <c r="B40" s="109">
        <f>Revenue!Q40</f>
        <v>502.49720098419101</v>
      </c>
      <c r="C40" s="109">
        <f>Operations!M48+Abandonment!G45</f>
        <v>340.82201916651775</v>
      </c>
      <c r="D40" s="109">
        <f>Development!BL121</f>
        <v>0</v>
      </c>
      <c r="E40" s="109">
        <f>IF($A40&lt;Production!$B$4,0,IF($A40=Production!$B$4,SUM(D$9:D40),D40))</f>
        <v>0</v>
      </c>
      <c r="F40" s="109">
        <f t="shared" si="3"/>
        <v>164.38204110592164</v>
      </c>
      <c r="G40" s="109">
        <f>F40*IF(A40&gt;=Abandonment!$B$4,1,G$5)</f>
        <v>41.095510276480411</v>
      </c>
      <c r="H40" s="109">
        <f>Development!BM121</f>
        <v>0</v>
      </c>
      <c r="I40" s="109">
        <f>IF($A40&lt;Production!$B$4,0,IF($A40=Production!$B$4,SUM(H$9:H40),H40))</f>
        <v>0</v>
      </c>
      <c r="J40" s="109">
        <f t="shared" si="4"/>
        <v>0</v>
      </c>
      <c r="K40" s="109">
        <f>J40*IF(Abandonment!$B$4='Federal Tax'!A40,1,K$5)</f>
        <v>0</v>
      </c>
      <c r="L40" s="109">
        <f t="shared" si="1"/>
        <v>120.57967154119285</v>
      </c>
      <c r="M40" s="109">
        <f>Royalty!AM41</f>
        <v>44.657542965357514</v>
      </c>
      <c r="N40" s="109">
        <f>Development!BK121</f>
        <v>0</v>
      </c>
      <c r="O40" s="109">
        <f t="shared" si="5"/>
        <v>1.0109794205117046</v>
      </c>
      <c r="P40" s="109">
        <f>O40*IF(A40=Abandonment!$B$4,1,P$5)</f>
        <v>0.30329382615351136</v>
      </c>
      <c r="Q40" s="109">
        <f>Exploration!Z66</f>
        <v>0</v>
      </c>
      <c r="R40" s="109">
        <f t="shared" si="2"/>
        <v>75.618834749681824</v>
      </c>
      <c r="S40" s="109">
        <f t="shared" si="9"/>
        <v>0</v>
      </c>
      <c r="T40" s="109">
        <f t="shared" si="10"/>
        <v>0</v>
      </c>
      <c r="U40" s="109">
        <f t="shared" si="6"/>
        <v>0</v>
      </c>
      <c r="V40" s="109">
        <f>IF(Input!$B$38="Yes",R40,MAX(0,R40+U39)+S40)</f>
        <v>75.618834749681824</v>
      </c>
      <c r="W40" s="189">
        <v>0.15</v>
      </c>
      <c r="X40" s="109">
        <f t="shared" si="7"/>
        <v>11.342825212452274</v>
      </c>
    </row>
    <row r="41" spans="1:24">
      <c r="A41" s="90">
        <f t="shared" si="8"/>
        <v>2053</v>
      </c>
      <c r="B41" s="109">
        <f>Revenue!Q41</f>
        <v>438.63397622890432</v>
      </c>
      <c r="C41" s="109">
        <f>Operations!M49+Abandonment!G46</f>
        <v>345.52066459991596</v>
      </c>
      <c r="D41" s="109">
        <f>Development!BL122</f>
        <v>0</v>
      </c>
      <c r="E41" s="109">
        <f>IF($A41&lt;Production!$B$4,0,IF($A41=Production!$B$4,SUM(D$9:D41),D41))</f>
        <v>0</v>
      </c>
      <c r="F41" s="109">
        <f t="shared" si="3"/>
        <v>123.28653082944123</v>
      </c>
      <c r="G41" s="109">
        <f>F41*IF(A41&gt;=Abandonment!$B$4,1,G$5)</f>
        <v>30.821632707360308</v>
      </c>
      <c r="H41" s="109">
        <f>Development!BM122</f>
        <v>0</v>
      </c>
      <c r="I41" s="109">
        <f>IF($A41&lt;Production!$B$4,0,IF($A41=Production!$B$4,SUM(H$9:H41),H41))</f>
        <v>0</v>
      </c>
      <c r="J41" s="109">
        <f t="shared" si="4"/>
        <v>0</v>
      </c>
      <c r="K41" s="109">
        <f>J41*IF(Abandonment!$B$4='Federal Tax'!A41,1,K$5)</f>
        <v>0</v>
      </c>
      <c r="L41" s="109">
        <f t="shared" si="1"/>
        <v>62.291678921628048</v>
      </c>
      <c r="M41" s="109">
        <f>Royalty!AM42</f>
        <v>21.931698811445216</v>
      </c>
      <c r="N41" s="109">
        <f>Development!BK122</f>
        <v>0</v>
      </c>
      <c r="O41" s="109">
        <f t="shared" si="5"/>
        <v>0.70768559435819323</v>
      </c>
      <c r="P41" s="109">
        <f>O41*IF(A41=Abandonment!$B$4,1,P$5)</f>
        <v>0.21230567830745797</v>
      </c>
      <c r="Q41" s="109">
        <f>Exploration!Z67</f>
        <v>0</v>
      </c>
      <c r="R41" s="109">
        <f t="shared" si="2"/>
        <v>40.147674431875373</v>
      </c>
      <c r="S41" s="109">
        <f t="shared" si="9"/>
        <v>0</v>
      </c>
      <c r="T41" s="109">
        <f t="shared" si="10"/>
        <v>0</v>
      </c>
      <c r="U41" s="109">
        <f t="shared" si="6"/>
        <v>0</v>
      </c>
      <c r="V41" s="109">
        <f>IF(Input!$B$38="Yes",R41,MAX(0,R41+U40)+S41)</f>
        <v>40.147674431875373</v>
      </c>
      <c r="W41" s="189">
        <v>0.15</v>
      </c>
      <c r="X41" s="109">
        <f t="shared" si="7"/>
        <v>6.022151164781306</v>
      </c>
    </row>
    <row r="42" spans="1:24">
      <c r="A42" s="90">
        <f t="shared" si="8"/>
        <v>2054</v>
      </c>
      <c r="B42" s="109">
        <f>Revenue!Q42</f>
        <v>384.02404618840427</v>
      </c>
      <c r="C42" s="109">
        <f>Operations!M50+Abandonment!G47</f>
        <v>351.09155474954565</v>
      </c>
      <c r="D42" s="109">
        <f>Development!BL123</f>
        <v>0</v>
      </c>
      <c r="E42" s="109">
        <f>IF($A42&lt;Production!$B$4,0,IF($A42=Production!$B$4,SUM(D$9:D42),D42))</f>
        <v>0</v>
      </c>
      <c r="F42" s="109">
        <f t="shared" si="3"/>
        <v>123.28653082944123</v>
      </c>
      <c r="G42" s="109">
        <f>F42*IF(A42&gt;=Abandonment!$B$4,1,G$5)</f>
        <v>30.821632707360308</v>
      </c>
      <c r="H42" s="109">
        <f>Development!BM123</f>
        <v>0</v>
      </c>
      <c r="I42" s="109">
        <f>IF($A42&lt;Production!$B$4,0,IF($A42=Production!$B$4,SUM(H$9:H42),H42))</f>
        <v>0</v>
      </c>
      <c r="J42" s="109">
        <f t="shared" si="4"/>
        <v>0</v>
      </c>
      <c r="K42" s="109">
        <f>J42*IF(Abandonment!$B$4='Federal Tax'!A42,1,K$5)</f>
        <v>0</v>
      </c>
      <c r="L42" s="109">
        <f t="shared" si="1"/>
        <v>2.1108587314983112</v>
      </c>
      <c r="M42" s="109">
        <f>Royalty!AM43</f>
        <v>19.201202309420214</v>
      </c>
      <c r="N42" s="109">
        <f>Development!BK123</f>
        <v>0</v>
      </c>
      <c r="O42" s="109">
        <f t="shared" si="5"/>
        <v>0.49537991605073528</v>
      </c>
      <c r="P42" s="109">
        <f>O42*IF(A42=Abandonment!$B$4,1,P$5)</f>
        <v>0.14861397481522057</v>
      </c>
      <c r="Q42" s="109">
        <f>Exploration!Z68</f>
        <v>0</v>
      </c>
      <c r="R42" s="109">
        <f t="shared" si="2"/>
        <v>-17.238957552737123</v>
      </c>
      <c r="S42" s="109">
        <f t="shared" si="9"/>
        <v>-17.238957552737123</v>
      </c>
      <c r="T42" s="109">
        <f t="shared" si="10"/>
        <v>0</v>
      </c>
      <c r="U42" s="109">
        <f t="shared" si="6"/>
        <v>0</v>
      </c>
      <c r="V42" s="109">
        <f>IF(Input!$B$38="Yes",R42,MAX(0,R42+U41)+S42)</f>
        <v>-17.238957552737123</v>
      </c>
      <c r="W42" s="189">
        <v>0.15</v>
      </c>
      <c r="X42" s="109">
        <f t="shared" si="7"/>
        <v>-2.5858436329105685</v>
      </c>
    </row>
    <row r="43" spans="1:24">
      <c r="A43" s="90">
        <f t="shared" si="8"/>
        <v>2055</v>
      </c>
      <c r="B43" s="109">
        <f>Revenue!Q43</f>
        <v>0</v>
      </c>
      <c r="C43" s="109">
        <f>Operations!M51+Abandonment!G48</f>
        <v>529.6306607920867</v>
      </c>
      <c r="D43" s="109">
        <f>Development!BL124</f>
        <v>0</v>
      </c>
      <c r="E43" s="109">
        <f>IF($A43&lt;Production!$B$4,0,IF($A43=Production!$B$4,SUM(D$9:D43),D43))</f>
        <v>0</v>
      </c>
      <c r="F43" s="109">
        <f t="shared" si="3"/>
        <v>92.464898122080925</v>
      </c>
      <c r="G43" s="109">
        <f>F43*IF(A43&gt;=Abandonment!$B$4,1,G$5)</f>
        <v>92.464898122080925</v>
      </c>
      <c r="H43" s="109">
        <f>Development!BM124</f>
        <v>0</v>
      </c>
      <c r="I43" s="109">
        <f>IF($A43&lt;Production!$B$4,0,IF($A43=Production!$B$4,SUM(H$9:H43),H43))</f>
        <v>0</v>
      </c>
      <c r="J43" s="109">
        <f t="shared" si="4"/>
        <v>0</v>
      </c>
      <c r="K43" s="109">
        <f>J43*IF(Abandonment!$B$4='Federal Tax'!A43,1,K$5)</f>
        <v>0</v>
      </c>
      <c r="L43" s="109">
        <f t="shared" si="1"/>
        <v>-622.09555891416767</v>
      </c>
      <c r="M43" s="109">
        <f>Royalty!AM44</f>
        <v>-111.12391802903301</v>
      </c>
      <c r="N43" s="109">
        <f>Development!BK124</f>
        <v>0</v>
      </c>
      <c r="O43" s="109">
        <f t="shared" si="5"/>
        <v>0.34676594123551474</v>
      </c>
      <c r="P43" s="109">
        <f>O43*IF(A43=Abandonment!$B$4,1,P$5)</f>
        <v>0.34676594123551474</v>
      </c>
      <c r="Q43" s="109">
        <f>Exploration!Z69</f>
        <v>0</v>
      </c>
      <c r="R43" s="109">
        <f t="shared" si="2"/>
        <v>-511.31840682637016</v>
      </c>
      <c r="S43" s="109">
        <f t="shared" si="9"/>
        <v>-115.7665091815572</v>
      </c>
      <c r="T43" s="109">
        <f t="shared" si="10"/>
        <v>-40.147674431875373</v>
      </c>
      <c r="U43" s="109">
        <f t="shared" si="6"/>
        <v>-395.55189764481298</v>
      </c>
      <c r="V43" s="109">
        <f>IF(Input!$B$38="Yes",R43,MAX(0,R43+U42)+S43)</f>
        <v>-115.7665091815572</v>
      </c>
      <c r="W43" s="189">
        <v>0.15</v>
      </c>
      <c r="X43" s="109">
        <f t="shared" si="7"/>
        <v>-17.364976377233578</v>
      </c>
    </row>
    <row r="44" spans="1:24">
      <c r="A44" s="90">
        <f t="shared" si="8"/>
        <v>2056</v>
      </c>
      <c r="B44" s="109">
        <f>Revenue!Q44</f>
        <v>0</v>
      </c>
      <c r="C44" s="109">
        <f>Operations!M52+Abandonment!G49</f>
        <v>0</v>
      </c>
      <c r="D44" s="109">
        <f>Development!BL125</f>
        <v>0</v>
      </c>
      <c r="E44" s="109">
        <f>IF($A44&lt;Production!$B$4,0,IF($A44=Production!$B$4,SUM(D$9:D44),D44))</f>
        <v>0</v>
      </c>
      <c r="F44" s="109">
        <f t="shared" si="3"/>
        <v>92.464898122080925</v>
      </c>
      <c r="G44" s="109">
        <f>F44*IF(A44&gt;=Abandonment!$B$4,1,G$5)</f>
        <v>92.464898122080925</v>
      </c>
      <c r="H44" s="109">
        <f>Development!BM125</f>
        <v>0</v>
      </c>
      <c r="I44" s="109">
        <f>IF($A44&lt;Production!$B$4,0,IF($A44=Production!$B$4,SUM(H$9:H44),H44))</f>
        <v>0</v>
      </c>
      <c r="J44" s="109">
        <f t="shared" si="4"/>
        <v>0</v>
      </c>
      <c r="K44" s="109">
        <f>J44*IF(Abandonment!$B$4='Federal Tax'!A44,1,K$5)</f>
        <v>0</v>
      </c>
      <c r="L44" s="109">
        <f t="shared" si="1"/>
        <v>-92.464898122080925</v>
      </c>
      <c r="M44" s="109">
        <f>Royalty!AM45</f>
        <v>0</v>
      </c>
      <c r="N44" s="109">
        <f>Development!BK125</f>
        <v>0</v>
      </c>
      <c r="O44" s="109">
        <f t="shared" si="5"/>
        <v>0</v>
      </c>
      <c r="P44" s="109">
        <f>O44*IF(A44=Abandonment!$B$4,1,P$5)</f>
        <v>0</v>
      </c>
      <c r="Q44" s="109">
        <f>Exploration!Z70</f>
        <v>0</v>
      </c>
      <c r="R44" s="109">
        <f t="shared" si="2"/>
        <v>-92.464898122080925</v>
      </c>
      <c r="S44" s="109">
        <f t="shared" si="9"/>
        <v>0</v>
      </c>
      <c r="T44" s="109">
        <f t="shared" si="10"/>
        <v>0</v>
      </c>
      <c r="U44" s="109">
        <f t="shared" si="6"/>
        <v>-488.01679576689389</v>
      </c>
      <c r="V44" s="109">
        <f>IF(Input!$B$38="Yes",R44,MAX(0,R44+U43)+S44)</f>
        <v>0</v>
      </c>
      <c r="W44" s="189">
        <v>0.15</v>
      </c>
      <c r="X44" s="109">
        <f t="shared" si="7"/>
        <v>0</v>
      </c>
    </row>
    <row r="45" spans="1:24">
      <c r="A45" s="90">
        <f t="shared" si="8"/>
        <v>2057</v>
      </c>
      <c r="B45" s="109">
        <f>Revenue!Q45</f>
        <v>0</v>
      </c>
      <c r="C45" s="109">
        <f>Operations!M53+Abandonment!G50</f>
        <v>0</v>
      </c>
      <c r="D45" s="109">
        <f>Development!BL126</f>
        <v>0</v>
      </c>
      <c r="E45" s="109">
        <f>IF($A45&lt;Production!$B$4,0,IF($A45=Production!$B$4,SUM(D$9:D45),D45))</f>
        <v>0</v>
      </c>
      <c r="F45" s="109">
        <f t="shared" si="3"/>
        <v>0</v>
      </c>
      <c r="G45" s="109">
        <f>F45*IF(A45&gt;=Abandonment!$B$4,1,G$5)</f>
        <v>0</v>
      </c>
      <c r="H45" s="109">
        <f>Development!BM126</f>
        <v>0</v>
      </c>
      <c r="I45" s="109">
        <f>IF($A45&lt;Production!$B$4,0,IF($A45=Production!$B$4,SUM(H$9:H45),H45))</f>
        <v>0</v>
      </c>
      <c r="J45" s="109">
        <f t="shared" si="4"/>
        <v>0</v>
      </c>
      <c r="K45" s="109">
        <f>J45*IF(Abandonment!$B$4='Federal Tax'!A45,1,K$5)</f>
        <v>0</v>
      </c>
      <c r="L45" s="109">
        <f t="shared" si="1"/>
        <v>0</v>
      </c>
      <c r="M45" s="109">
        <f>Royalty!AM46</f>
        <v>0</v>
      </c>
      <c r="N45" s="109">
        <f>Development!BK126</f>
        <v>0</v>
      </c>
      <c r="O45" s="109">
        <f t="shared" si="5"/>
        <v>0</v>
      </c>
      <c r="P45" s="109">
        <f>O45*IF(A45=Abandonment!$B$4,1,P$5)</f>
        <v>0</v>
      </c>
      <c r="Q45" s="109">
        <f>Exploration!Z71</f>
        <v>0</v>
      </c>
      <c r="R45" s="109">
        <f t="shared" si="2"/>
        <v>0</v>
      </c>
      <c r="S45" s="109">
        <f t="shared" si="9"/>
        <v>0</v>
      </c>
      <c r="T45" s="109">
        <f t="shared" si="10"/>
        <v>0</v>
      </c>
      <c r="U45" s="109">
        <f t="shared" si="6"/>
        <v>-488.01679576689389</v>
      </c>
      <c r="V45" s="109">
        <f>IF(Input!$B$38="Yes",R45,MAX(0,R45+U44)+S45)</f>
        <v>0</v>
      </c>
      <c r="W45" s="189">
        <v>0.15</v>
      </c>
      <c r="X45" s="109">
        <f t="shared" si="7"/>
        <v>0</v>
      </c>
    </row>
    <row r="46" spans="1:24">
      <c r="A46" s="90">
        <f t="shared" si="8"/>
        <v>2058</v>
      </c>
      <c r="B46" s="109">
        <f>Revenue!Q46</f>
        <v>0</v>
      </c>
      <c r="C46" s="109">
        <f>Operations!M54+Abandonment!G51</f>
        <v>0</v>
      </c>
      <c r="D46" s="109">
        <f>Development!BL127</f>
        <v>0</v>
      </c>
      <c r="E46" s="109">
        <f>IF($A46&lt;Production!$B$4,0,IF($A46=Production!$B$4,SUM(D$9:D46),D46))</f>
        <v>0</v>
      </c>
      <c r="F46" s="109">
        <f t="shared" si="3"/>
        <v>0</v>
      </c>
      <c r="G46" s="109">
        <f>F46*IF(A46&gt;=Abandonment!$B$4,1,G$5)</f>
        <v>0</v>
      </c>
      <c r="H46" s="109">
        <f>Development!BM127</f>
        <v>0</v>
      </c>
      <c r="I46" s="109">
        <f>IF($A46&lt;Production!$B$4,0,IF($A46=Production!$B$4,SUM(H$9:H46),H46))</f>
        <v>0</v>
      </c>
      <c r="J46" s="109">
        <f t="shared" si="4"/>
        <v>0</v>
      </c>
      <c r="K46" s="109">
        <f>J46*IF(Abandonment!$B$4='Federal Tax'!A46,1,K$5)</f>
        <v>0</v>
      </c>
      <c r="L46" s="109">
        <f t="shared" si="1"/>
        <v>0</v>
      </c>
      <c r="M46" s="109">
        <f>Royalty!AM47</f>
        <v>0</v>
      </c>
      <c r="N46" s="109">
        <f>Development!BK127</f>
        <v>0</v>
      </c>
      <c r="O46" s="109">
        <f t="shared" si="5"/>
        <v>0</v>
      </c>
      <c r="P46" s="109">
        <f>O46*IF(A46=Abandonment!$B$4,1,P$5)</f>
        <v>0</v>
      </c>
      <c r="Q46" s="109">
        <f>Exploration!Z72</f>
        <v>0</v>
      </c>
      <c r="R46" s="109">
        <f t="shared" si="2"/>
        <v>0</v>
      </c>
      <c r="S46" s="109">
        <f t="shared" si="9"/>
        <v>0</v>
      </c>
      <c r="T46" s="109">
        <f t="shared" si="10"/>
        <v>0</v>
      </c>
      <c r="U46" s="109">
        <f t="shared" si="6"/>
        <v>-488.01679576689389</v>
      </c>
      <c r="V46" s="109">
        <f>IF(Input!$B$38="Yes",R46,MAX(0,R46+U45)+S46)</f>
        <v>0</v>
      </c>
      <c r="W46" s="189">
        <v>0.15</v>
      </c>
      <c r="X46" s="109">
        <f t="shared" si="7"/>
        <v>0</v>
      </c>
    </row>
    <row r="47" spans="1:24">
      <c r="A47" s="90">
        <f t="shared" si="8"/>
        <v>2059</v>
      </c>
      <c r="B47" s="109">
        <f>Revenue!Q47</f>
        <v>0</v>
      </c>
      <c r="C47" s="109">
        <f>Operations!M55+Abandonment!G52</f>
        <v>0</v>
      </c>
      <c r="D47" s="109">
        <f>Development!BL128</f>
        <v>0</v>
      </c>
      <c r="E47" s="109">
        <f>IF($A47&lt;Production!$B$4,0,IF($A47=Production!$B$4,SUM(D$9:D47),D47))</f>
        <v>0</v>
      </c>
      <c r="F47" s="109">
        <f t="shared" si="3"/>
        <v>0</v>
      </c>
      <c r="G47" s="109">
        <f>F47*IF(A47&gt;=Abandonment!$B$4,1,G$5)</f>
        <v>0</v>
      </c>
      <c r="H47" s="109">
        <f>Development!BM128</f>
        <v>0</v>
      </c>
      <c r="I47" s="109">
        <f>IF($A47&lt;Production!$B$4,0,IF($A47=Production!$B$4,SUM(H$9:H47),H47))</f>
        <v>0</v>
      </c>
      <c r="J47" s="109">
        <f t="shared" si="4"/>
        <v>0</v>
      </c>
      <c r="K47" s="109">
        <f>J47*IF(Abandonment!$B$4='Federal Tax'!A47,1,K$5)</f>
        <v>0</v>
      </c>
      <c r="L47" s="109">
        <f t="shared" si="1"/>
        <v>0</v>
      </c>
      <c r="M47" s="109">
        <f>Royalty!AM48</f>
        <v>0</v>
      </c>
      <c r="N47" s="109">
        <f>Development!BK128</f>
        <v>0</v>
      </c>
      <c r="O47" s="109">
        <f t="shared" si="5"/>
        <v>0</v>
      </c>
      <c r="P47" s="109">
        <f>O47*IF(A47=Abandonment!$B$4,1,P$5)</f>
        <v>0</v>
      </c>
      <c r="Q47" s="109">
        <f>Exploration!Z73</f>
        <v>0</v>
      </c>
      <c r="R47" s="109">
        <f t="shared" si="2"/>
        <v>0</v>
      </c>
      <c r="S47" s="109">
        <f t="shared" si="9"/>
        <v>0</v>
      </c>
      <c r="T47" s="109">
        <f t="shared" si="10"/>
        <v>0</v>
      </c>
      <c r="U47" s="109">
        <f t="shared" si="6"/>
        <v>-488.01679576689389</v>
      </c>
      <c r="V47" s="109">
        <f>IF(Input!$B$38="Yes",R47,MAX(0,R47+U46)+S47)</f>
        <v>0</v>
      </c>
      <c r="W47" s="189">
        <v>0.15</v>
      </c>
      <c r="X47" s="109">
        <f t="shared" si="7"/>
        <v>0</v>
      </c>
    </row>
    <row r="48" spans="1:24">
      <c r="A48" s="90">
        <f t="shared" si="8"/>
        <v>2060</v>
      </c>
      <c r="B48" s="109">
        <f>Revenue!Q48</f>
        <v>0</v>
      </c>
      <c r="C48" s="109">
        <f>Operations!M56+Abandonment!G53</f>
        <v>0</v>
      </c>
      <c r="D48" s="109">
        <f>Development!BL129</f>
        <v>0</v>
      </c>
      <c r="E48" s="109">
        <f>IF($A48&lt;Production!$B$4,0,IF($A48=Production!$B$4,SUM(D$9:D48),D48))</f>
        <v>0</v>
      </c>
      <c r="F48" s="109">
        <f t="shared" si="3"/>
        <v>0</v>
      </c>
      <c r="G48" s="109">
        <f>F48*IF(A48&gt;=Abandonment!$B$4,1,G$5)</f>
        <v>0</v>
      </c>
      <c r="H48" s="109">
        <f>Development!BM129</f>
        <v>0</v>
      </c>
      <c r="I48" s="109">
        <f>IF($A48&lt;Production!$B$4,0,IF($A48=Production!$B$4,SUM(H$9:H48),H48))</f>
        <v>0</v>
      </c>
      <c r="J48" s="109">
        <f t="shared" si="4"/>
        <v>0</v>
      </c>
      <c r="K48" s="109">
        <f>J48*IF(Abandonment!$B$4='Federal Tax'!A48,1,K$5)</f>
        <v>0</v>
      </c>
      <c r="L48" s="109">
        <f t="shared" si="1"/>
        <v>0</v>
      </c>
      <c r="M48" s="109">
        <f>Royalty!AM49</f>
        <v>0</v>
      </c>
      <c r="N48" s="109">
        <f>Development!BK129</f>
        <v>0</v>
      </c>
      <c r="O48" s="109">
        <f t="shared" si="5"/>
        <v>0</v>
      </c>
      <c r="P48" s="109">
        <f>O48*IF(A48=Abandonment!$B$4,1,P$5)</f>
        <v>0</v>
      </c>
      <c r="Q48" s="109">
        <f>Exploration!Z74</f>
        <v>0</v>
      </c>
      <c r="R48" s="109">
        <f t="shared" si="2"/>
        <v>0</v>
      </c>
      <c r="S48" s="109">
        <f t="shared" si="9"/>
        <v>0</v>
      </c>
      <c r="T48" s="109">
        <f t="shared" si="10"/>
        <v>0</v>
      </c>
      <c r="U48" s="109">
        <f t="shared" si="6"/>
        <v>-488.01679576689389</v>
      </c>
      <c r="V48" s="109">
        <f>IF(Input!$B$38="Yes",R48,MAX(0,R48+U47)+S48)</f>
        <v>0</v>
      </c>
      <c r="W48" s="189">
        <v>0.15</v>
      </c>
      <c r="X48" s="109">
        <f t="shared" si="7"/>
        <v>0</v>
      </c>
    </row>
    <row r="49" spans="1:24">
      <c r="A49" s="90">
        <f t="shared" si="8"/>
        <v>2061</v>
      </c>
      <c r="B49" s="109">
        <f>Revenue!Q49</f>
        <v>0</v>
      </c>
      <c r="C49" s="109">
        <f>Operations!M57+Abandonment!G54</f>
        <v>0</v>
      </c>
      <c r="D49" s="109">
        <f>Development!BL130</f>
        <v>0</v>
      </c>
      <c r="E49" s="109">
        <f>IF($A49&lt;Production!$B$4,0,IF($A49=Production!$B$4,SUM(D$9:D49),D49))</f>
        <v>0</v>
      </c>
      <c r="F49" s="109">
        <f t="shared" si="3"/>
        <v>0</v>
      </c>
      <c r="G49" s="109">
        <f>F49*IF(A49&gt;=Abandonment!$B$4,1,G$5)</f>
        <v>0</v>
      </c>
      <c r="H49" s="109">
        <f>Development!BM130</f>
        <v>0</v>
      </c>
      <c r="I49" s="109">
        <f>IF($A49&lt;Production!$B$4,0,IF($A49=Production!$B$4,SUM(H$9:H49),H49))</f>
        <v>0</v>
      </c>
      <c r="J49" s="109">
        <f t="shared" si="4"/>
        <v>0</v>
      </c>
      <c r="K49" s="109">
        <f>J49*IF(Abandonment!$B$4='Federal Tax'!A49,1,K$5)</f>
        <v>0</v>
      </c>
      <c r="L49" s="109">
        <f t="shared" si="1"/>
        <v>0</v>
      </c>
      <c r="M49" s="109">
        <f>Royalty!AM50</f>
        <v>0</v>
      </c>
      <c r="N49" s="109">
        <f>Development!BK130</f>
        <v>0</v>
      </c>
      <c r="O49" s="109">
        <f t="shared" si="5"/>
        <v>0</v>
      </c>
      <c r="P49" s="109">
        <f>O49*IF(A49=Abandonment!$B$4,1,P$5)</f>
        <v>0</v>
      </c>
      <c r="Q49" s="109">
        <f>Exploration!Z75</f>
        <v>0</v>
      </c>
      <c r="R49" s="109">
        <f t="shared" si="2"/>
        <v>0</v>
      </c>
      <c r="S49" s="109">
        <f t="shared" si="9"/>
        <v>0</v>
      </c>
      <c r="T49" s="109">
        <f t="shared" si="10"/>
        <v>0</v>
      </c>
      <c r="U49" s="109">
        <f t="shared" si="6"/>
        <v>-488.01679576689389</v>
      </c>
      <c r="V49" s="109">
        <f>IF(Input!$B$38="Yes",R49,MAX(0,R49+U48)+S49)</f>
        <v>0</v>
      </c>
      <c r="W49" s="189">
        <v>0.15</v>
      </c>
      <c r="X49" s="109">
        <f t="shared" si="7"/>
        <v>0</v>
      </c>
    </row>
    <row r="50" spans="1:24">
      <c r="A50" s="97">
        <f t="shared" si="8"/>
        <v>2062</v>
      </c>
      <c r="B50" s="111">
        <f>Revenue!Q50</f>
        <v>0</v>
      </c>
      <c r="C50" s="111">
        <f>Operations!M58+Abandonment!G55</f>
        <v>0</v>
      </c>
      <c r="D50" s="111">
        <f>Development!BL131</f>
        <v>0</v>
      </c>
      <c r="E50" s="111">
        <f>IF($A50&lt;Production!$B$4,0,IF($A50=Production!$B$4,SUM(D$9:D50),D50))</f>
        <v>0</v>
      </c>
      <c r="F50" s="111">
        <f t="shared" si="3"/>
        <v>0</v>
      </c>
      <c r="G50" s="111">
        <f>F50*IF(A50&gt;=Abandonment!$B$4,1,G$5)</f>
        <v>0</v>
      </c>
      <c r="H50" s="111">
        <f>Development!BM131</f>
        <v>0</v>
      </c>
      <c r="I50" s="111">
        <f>IF($A50&lt;Production!$B$4,0,IF($A50=Production!$B$4,SUM(H$9:H50),H50))</f>
        <v>0</v>
      </c>
      <c r="J50" s="111">
        <f t="shared" si="4"/>
        <v>0</v>
      </c>
      <c r="K50" s="111">
        <f>J50*IF(Abandonment!$B$4='Federal Tax'!A50,1,K$5)</f>
        <v>0</v>
      </c>
      <c r="L50" s="111">
        <f t="shared" si="1"/>
        <v>0</v>
      </c>
      <c r="M50" s="111">
        <f>Royalty!AM51</f>
        <v>0</v>
      </c>
      <c r="N50" s="111">
        <f>Development!BK131</f>
        <v>0</v>
      </c>
      <c r="O50" s="111">
        <f t="shared" si="5"/>
        <v>0</v>
      </c>
      <c r="P50" s="111">
        <f>O50*IF(A50=Abandonment!$B$4,1,P$5)</f>
        <v>0</v>
      </c>
      <c r="Q50" s="111">
        <f>Exploration!Z76</f>
        <v>0</v>
      </c>
      <c r="R50" s="111">
        <f t="shared" si="2"/>
        <v>0</v>
      </c>
      <c r="S50" s="111">
        <f t="shared" si="9"/>
        <v>0</v>
      </c>
      <c r="T50" s="111">
        <f t="shared" si="10"/>
        <v>0</v>
      </c>
      <c r="U50" s="111">
        <f t="shared" si="6"/>
        <v>-488.01679576689389</v>
      </c>
      <c r="V50" s="111">
        <f>IF(Input!$B$38="Yes",R50,MAX(0,R50+U49)+S50)</f>
        <v>0</v>
      </c>
      <c r="W50" s="190">
        <v>0.15</v>
      </c>
      <c r="X50" s="111">
        <f t="shared" si="7"/>
        <v>0</v>
      </c>
    </row>
    <row r="51" spans="1:24">
      <c r="A51" s="64"/>
      <c r="B51" s="121"/>
      <c r="C51" s="64"/>
      <c r="D51" s="64"/>
      <c r="E51" s="64"/>
      <c r="F51" s="64"/>
      <c r="G51" s="121"/>
      <c r="H51" s="64"/>
      <c r="I51" s="64"/>
      <c r="J51" s="64"/>
      <c r="K51" s="64"/>
      <c r="L51" s="64"/>
      <c r="M51" s="64"/>
      <c r="N51" s="64"/>
      <c r="O51" s="64"/>
      <c r="P51" s="64"/>
      <c r="Q51" s="121"/>
      <c r="R51" s="64"/>
      <c r="S51" s="64"/>
      <c r="T51" s="64"/>
      <c r="U51" s="64"/>
      <c r="V51" s="64"/>
      <c r="W51" s="64"/>
      <c r="X51" s="64"/>
    </row>
    <row r="52" spans="1:24">
      <c r="A52" s="64"/>
      <c r="B52" s="121"/>
      <c r="C52" s="64"/>
      <c r="D52" s="64"/>
      <c r="E52" s="64"/>
      <c r="F52" s="64"/>
      <c r="G52" s="121"/>
      <c r="H52" s="64"/>
      <c r="I52" s="64"/>
      <c r="J52" s="64"/>
      <c r="K52" s="64"/>
      <c r="L52" s="64"/>
      <c r="M52" s="64"/>
      <c r="N52" s="64"/>
      <c r="O52" s="64"/>
      <c r="P52" s="64"/>
      <c r="Q52" s="121"/>
      <c r="R52" s="64"/>
      <c r="S52" s="64"/>
      <c r="T52" s="64"/>
      <c r="U52" s="64"/>
      <c r="V52" s="64"/>
      <c r="W52" s="64"/>
      <c r="X52" s="64"/>
    </row>
  </sheetData>
  <sheetProtection algorithmName="SHA-512" hashValue="687RjSfQUAAS5phH5mRnMq0723bG13DasqXWG27N3bXyjN+dBfP/fl1U/5ttLu7rHZOsPJU8dZTaYZKvG1bdQg==" saltValue="f/T1Dpop5+pzDsNfs5ur2A==" spinCount="100000" sheet="1" objects="1" scenarios="1"/>
  <hyperlinks>
    <hyperlink ref="G1" location="Guide" display="Guide" xr:uid="{00000000-0004-0000-1900-000000000000}"/>
    <hyperlink ref="G2" location="Input" display="Input" xr:uid="{00000000-0004-0000-1900-000001000000}"/>
  </hyperlinks>
  <pageMargins left="0.7" right="0.7" top="0.75" bottom="0.75" header="0.3" footer="0.3"/>
  <pageSetup paperSize="9" scale="44" fitToHeight="0" orientation="landscape" horizontalDpi="300" r:id="rId1"/>
  <headerFooter>
    <oddFooter>&amp;LNova Scotia Exploration Economics Model&amp;Rwww.indeva.com</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1">
    <tabColor rgb="FFFFFF00"/>
    <pageSetUpPr fitToPage="1"/>
  </sheetPr>
  <dimension ref="A1:W73"/>
  <sheetViews>
    <sheetView showGridLines="0" showRowColHeaders="0" zoomScaleNormal="100" workbookViewId="0">
      <pane ySplit="1" topLeftCell="A2" activePane="bottomLeft" state="frozen"/>
      <selection activeCell="D43" sqref="D43"/>
      <selection pane="bottomLeft"/>
    </sheetView>
  </sheetViews>
  <sheetFormatPr defaultRowHeight="15"/>
  <cols>
    <col min="1" max="1" width="5.140625" style="4" customWidth="1"/>
    <col min="2" max="2" width="7.140625" customWidth="1"/>
    <col min="3" max="3" width="14" customWidth="1"/>
    <col min="4" max="4" width="113.85546875" customWidth="1"/>
    <col min="5" max="5" width="19.7109375" customWidth="1"/>
  </cols>
  <sheetData>
    <row r="1" spans="1:23" ht="20.25" customHeight="1">
      <c r="A1" s="367"/>
      <c r="B1" s="355" t="s">
        <v>764</v>
      </c>
      <c r="C1" s="355" t="s">
        <v>774</v>
      </c>
      <c r="D1" s="356" t="s">
        <v>765</v>
      </c>
      <c r="E1" s="357" t="s">
        <v>762</v>
      </c>
      <c r="F1" s="367"/>
      <c r="G1" s="367"/>
      <c r="H1" s="367"/>
      <c r="I1" s="367"/>
      <c r="J1" s="308"/>
      <c r="K1" s="308"/>
      <c r="L1" s="308"/>
      <c r="M1" s="308"/>
      <c r="N1" s="308"/>
      <c r="O1" s="308"/>
      <c r="P1" s="308"/>
      <c r="Q1" s="308"/>
      <c r="R1" s="308"/>
      <c r="S1" s="308"/>
      <c r="T1" s="308"/>
      <c r="U1" s="308"/>
      <c r="V1" s="308"/>
      <c r="W1" s="308"/>
    </row>
    <row r="2" spans="1:23" ht="30.75" customHeight="1">
      <c r="A2" s="367"/>
      <c r="B2" s="566">
        <v>1</v>
      </c>
      <c r="C2" s="569" t="s">
        <v>754</v>
      </c>
      <c r="D2" s="411" t="s">
        <v>1000</v>
      </c>
      <c r="E2" s="572"/>
      <c r="F2" s="367"/>
      <c r="G2" s="367"/>
      <c r="H2" s="367"/>
      <c r="I2" s="367"/>
      <c r="J2" s="308"/>
      <c r="K2" s="308"/>
      <c r="L2" s="308"/>
      <c r="M2" s="308"/>
      <c r="N2" s="308"/>
      <c r="O2" s="308"/>
      <c r="P2" s="308"/>
      <c r="Q2" s="308"/>
      <c r="R2" s="308"/>
      <c r="S2" s="308"/>
      <c r="T2" s="308"/>
      <c r="U2" s="308"/>
      <c r="V2" s="308"/>
      <c r="W2" s="308"/>
    </row>
    <row r="3" spans="1:23" ht="82.5" customHeight="1">
      <c r="A3" s="367"/>
      <c r="B3" s="567"/>
      <c r="C3" s="570"/>
      <c r="D3" s="475" t="s">
        <v>999</v>
      </c>
      <c r="E3" s="573"/>
      <c r="F3" s="367"/>
      <c r="G3" s="367"/>
      <c r="H3" s="367"/>
      <c r="I3" s="367"/>
      <c r="J3" s="308"/>
      <c r="K3" s="308"/>
      <c r="L3" s="308"/>
      <c r="M3" s="308"/>
      <c r="N3" s="308"/>
      <c r="O3" s="308"/>
      <c r="P3" s="308"/>
      <c r="Q3" s="308"/>
      <c r="R3" s="308"/>
      <c r="S3" s="308"/>
      <c r="T3" s="308"/>
      <c r="U3" s="308"/>
      <c r="V3" s="308"/>
      <c r="W3" s="308"/>
    </row>
    <row r="4" spans="1:23" ht="68.25" customHeight="1">
      <c r="A4" s="367"/>
      <c r="B4" s="567"/>
      <c r="C4" s="570"/>
      <c r="D4" s="412" t="s">
        <v>1002</v>
      </c>
      <c r="E4" s="573"/>
      <c r="F4" s="367"/>
      <c r="G4" s="367"/>
      <c r="H4" s="367"/>
      <c r="I4" s="367"/>
      <c r="J4" s="308"/>
      <c r="K4" s="308"/>
      <c r="L4" s="308"/>
      <c r="M4" s="308"/>
      <c r="N4" s="308"/>
      <c r="O4" s="308"/>
      <c r="P4" s="308"/>
      <c r="Q4" s="308"/>
      <c r="R4" s="308"/>
      <c r="S4" s="308"/>
      <c r="T4" s="308"/>
      <c r="U4" s="308"/>
      <c r="V4" s="308"/>
      <c r="W4" s="308"/>
    </row>
    <row r="5" spans="1:23" ht="43.9" customHeight="1">
      <c r="A5" s="367"/>
      <c r="B5" s="568"/>
      <c r="C5" s="571"/>
      <c r="D5" s="476" t="s">
        <v>1001</v>
      </c>
      <c r="E5" s="574"/>
      <c r="F5" s="367"/>
      <c r="G5" s="367"/>
      <c r="H5" s="367"/>
      <c r="I5" s="367"/>
      <c r="J5" s="308"/>
      <c r="K5" s="308"/>
      <c r="L5" s="308"/>
      <c r="M5" s="308"/>
      <c r="N5" s="308"/>
      <c r="O5" s="308"/>
      <c r="P5" s="308"/>
      <c r="Q5" s="308"/>
      <c r="R5" s="308"/>
      <c r="S5" s="308"/>
      <c r="T5" s="308"/>
      <c r="U5" s="308"/>
      <c r="V5" s="308"/>
      <c r="W5" s="308"/>
    </row>
    <row r="6" spans="1:23" ht="21.75" customHeight="1">
      <c r="A6" s="367"/>
      <c r="B6" s="554" t="s">
        <v>775</v>
      </c>
      <c r="C6" s="555"/>
      <c r="D6" s="555"/>
      <c r="E6" s="556"/>
      <c r="F6" s="367"/>
      <c r="G6" s="367"/>
      <c r="H6" s="367"/>
      <c r="I6" s="367"/>
      <c r="J6" s="308"/>
      <c r="K6" s="308"/>
      <c r="L6" s="308"/>
      <c r="M6" s="308"/>
      <c r="N6" s="308"/>
      <c r="O6" s="308"/>
      <c r="P6" s="308"/>
      <c r="Q6" s="308"/>
      <c r="R6" s="308"/>
      <c r="S6" s="308"/>
      <c r="T6" s="308"/>
      <c r="U6" s="308"/>
      <c r="V6" s="308"/>
      <c r="W6" s="308"/>
    </row>
    <row r="7" spans="1:23" ht="76.900000000000006" customHeight="1">
      <c r="A7" s="367"/>
      <c r="B7" s="358">
        <f>B2+1</f>
        <v>2</v>
      </c>
      <c r="C7" s="361" t="s">
        <v>776</v>
      </c>
      <c r="D7" s="359" t="s">
        <v>884</v>
      </c>
      <c r="E7" s="363" t="s">
        <v>139</v>
      </c>
      <c r="F7" s="367"/>
      <c r="G7" s="367"/>
      <c r="H7" s="367"/>
      <c r="I7" s="367"/>
      <c r="J7" s="308"/>
      <c r="K7" s="308"/>
      <c r="L7" s="308"/>
      <c r="M7" s="308"/>
      <c r="N7" s="308"/>
      <c r="O7" s="308"/>
      <c r="P7" s="308"/>
      <c r="Q7" s="308"/>
      <c r="R7" s="308"/>
      <c r="S7" s="308"/>
      <c r="T7" s="308"/>
      <c r="U7" s="308"/>
      <c r="V7" s="308"/>
      <c r="W7" s="308"/>
    </row>
    <row r="8" spans="1:23" ht="33.4" customHeight="1">
      <c r="A8" s="367"/>
      <c r="B8" s="358">
        <f>B7+1</f>
        <v>3</v>
      </c>
      <c r="C8" s="361" t="s">
        <v>869</v>
      </c>
      <c r="D8" s="364" t="s">
        <v>870</v>
      </c>
      <c r="E8" s="363" t="s">
        <v>871</v>
      </c>
      <c r="F8" s="367"/>
      <c r="G8" s="367"/>
      <c r="H8" s="367"/>
      <c r="I8" s="367"/>
      <c r="J8" s="308"/>
      <c r="K8" s="308"/>
      <c r="L8" s="308"/>
      <c r="M8" s="308"/>
      <c r="N8" s="308"/>
      <c r="O8" s="308"/>
      <c r="P8" s="308"/>
      <c r="Q8" s="308"/>
      <c r="R8" s="308"/>
      <c r="S8" s="308"/>
      <c r="T8" s="308"/>
      <c r="U8" s="308"/>
      <c r="V8" s="308"/>
      <c r="W8" s="308"/>
    </row>
    <row r="9" spans="1:23" ht="63.75" customHeight="1">
      <c r="A9" s="367"/>
      <c r="B9" s="358">
        <f t="shared" ref="B9:B15" si="0">B8+1</f>
        <v>4</v>
      </c>
      <c r="C9" s="361" t="s">
        <v>777</v>
      </c>
      <c r="D9" s="359" t="s">
        <v>1113</v>
      </c>
      <c r="E9" s="363" t="s">
        <v>139</v>
      </c>
      <c r="F9" s="367"/>
      <c r="G9" s="367"/>
      <c r="H9" s="367"/>
      <c r="I9" s="367"/>
      <c r="J9" s="308"/>
      <c r="K9" s="308"/>
      <c r="L9" s="308"/>
      <c r="M9" s="308"/>
      <c r="N9" s="308"/>
      <c r="O9" s="308"/>
      <c r="P9" s="308"/>
      <c r="Q9" s="308"/>
      <c r="R9" s="308"/>
      <c r="S9" s="308"/>
      <c r="T9" s="308"/>
      <c r="U9" s="308"/>
      <c r="V9" s="308"/>
      <c r="W9" s="308"/>
    </row>
    <row r="10" spans="1:23" ht="136.9" customHeight="1">
      <c r="A10" s="367"/>
      <c r="B10" s="358"/>
      <c r="C10" s="361"/>
      <c r="D10" s="499" t="s">
        <v>1114</v>
      </c>
      <c r="E10" s="363"/>
      <c r="F10" s="367"/>
      <c r="G10" s="367"/>
      <c r="H10" s="367"/>
      <c r="I10" s="367"/>
      <c r="J10" s="308"/>
      <c r="K10" s="308"/>
      <c r="L10" s="308"/>
      <c r="M10" s="308"/>
      <c r="N10" s="308"/>
      <c r="O10" s="308"/>
      <c r="P10" s="308"/>
      <c r="Q10" s="308"/>
      <c r="R10" s="308"/>
      <c r="S10" s="308"/>
      <c r="T10" s="308"/>
      <c r="U10" s="308"/>
      <c r="V10" s="308"/>
      <c r="W10" s="308"/>
    </row>
    <row r="11" spans="1:23" ht="30.75" customHeight="1">
      <c r="A11" s="367"/>
      <c r="B11" s="358">
        <f>B9+1</f>
        <v>5</v>
      </c>
      <c r="C11" s="361" t="s">
        <v>375</v>
      </c>
      <c r="D11" s="362" t="s">
        <v>820</v>
      </c>
      <c r="E11" s="363" t="s">
        <v>794</v>
      </c>
      <c r="F11" s="367"/>
      <c r="G11" s="367"/>
      <c r="H11" s="367"/>
      <c r="I11" s="367"/>
      <c r="J11" s="308"/>
      <c r="K11" s="308"/>
      <c r="L11" s="308"/>
      <c r="M11" s="308"/>
      <c r="N11" s="308"/>
      <c r="O11" s="308"/>
      <c r="P11" s="308"/>
      <c r="Q11" s="308"/>
      <c r="R11" s="308"/>
      <c r="S11" s="308"/>
      <c r="T11" s="308"/>
      <c r="U11" s="308"/>
      <c r="V11" s="308"/>
      <c r="W11" s="308"/>
    </row>
    <row r="12" spans="1:23" ht="41.25" customHeight="1">
      <c r="A12" s="367"/>
      <c r="B12" s="358">
        <f t="shared" si="0"/>
        <v>6</v>
      </c>
      <c r="C12" s="361" t="s">
        <v>778</v>
      </c>
      <c r="D12" s="359" t="s">
        <v>792</v>
      </c>
      <c r="E12" s="363" t="s">
        <v>778</v>
      </c>
      <c r="F12" s="367"/>
      <c r="G12" s="367"/>
      <c r="H12" s="367"/>
      <c r="I12" s="367"/>
      <c r="J12" s="308"/>
      <c r="K12" s="308"/>
      <c r="L12" s="308"/>
      <c r="M12" s="308"/>
      <c r="N12" s="308"/>
      <c r="O12" s="308"/>
      <c r="P12" s="308"/>
      <c r="Q12" s="308"/>
      <c r="R12" s="308"/>
      <c r="S12" s="308"/>
      <c r="T12" s="308"/>
      <c r="U12" s="308"/>
      <c r="V12" s="308"/>
      <c r="W12" s="308"/>
    </row>
    <row r="13" spans="1:23" ht="40.9" customHeight="1">
      <c r="A13" s="367"/>
      <c r="B13" s="358">
        <f t="shared" si="0"/>
        <v>7</v>
      </c>
      <c r="C13" s="361" t="s">
        <v>0</v>
      </c>
      <c r="D13" s="362" t="s">
        <v>795</v>
      </c>
      <c r="E13" s="363" t="s">
        <v>0</v>
      </c>
      <c r="F13" s="367"/>
      <c r="G13" s="367"/>
      <c r="H13" s="367"/>
      <c r="I13" s="367"/>
      <c r="J13" s="308"/>
      <c r="K13" s="308"/>
      <c r="L13" s="308"/>
      <c r="M13" s="308"/>
      <c r="N13" s="308"/>
      <c r="O13" s="308"/>
      <c r="P13" s="308"/>
      <c r="Q13" s="308"/>
      <c r="R13" s="308"/>
      <c r="S13" s="308"/>
      <c r="T13" s="308"/>
      <c r="U13" s="308"/>
      <c r="V13" s="308"/>
      <c r="W13" s="308"/>
    </row>
    <row r="14" spans="1:23" ht="28.5" customHeight="1">
      <c r="A14" s="367"/>
      <c r="B14" s="358">
        <f t="shared" si="0"/>
        <v>8</v>
      </c>
      <c r="C14" s="361" t="s">
        <v>779</v>
      </c>
      <c r="D14" s="359" t="s">
        <v>885</v>
      </c>
      <c r="E14" s="363" t="s">
        <v>793</v>
      </c>
      <c r="F14" s="367"/>
      <c r="G14" s="367"/>
      <c r="H14" s="367"/>
      <c r="I14" s="367"/>
      <c r="J14" s="308"/>
      <c r="K14" s="308"/>
      <c r="L14" s="308"/>
      <c r="M14" s="308"/>
      <c r="N14" s="308"/>
      <c r="O14" s="308"/>
      <c r="P14" s="308"/>
      <c r="Q14" s="308"/>
      <c r="R14" s="308"/>
      <c r="S14" s="308"/>
      <c r="T14" s="308"/>
      <c r="U14" s="308"/>
      <c r="V14" s="308"/>
      <c r="W14" s="308"/>
    </row>
    <row r="15" spans="1:23" ht="17.25" customHeight="1">
      <c r="A15" s="367"/>
      <c r="B15" s="358">
        <f t="shared" si="0"/>
        <v>9</v>
      </c>
      <c r="C15" s="361" t="s">
        <v>818</v>
      </c>
      <c r="D15" s="364" t="s">
        <v>819</v>
      </c>
      <c r="E15" s="363" t="s">
        <v>817</v>
      </c>
      <c r="F15" s="367"/>
      <c r="G15" s="367"/>
      <c r="H15" s="367"/>
      <c r="I15" s="367"/>
      <c r="J15" s="308"/>
      <c r="K15" s="308"/>
      <c r="L15" s="308"/>
      <c r="M15" s="308"/>
      <c r="N15" s="308"/>
      <c r="O15" s="308"/>
      <c r="P15" s="308"/>
      <c r="Q15" s="308"/>
      <c r="R15" s="308"/>
      <c r="S15" s="308"/>
      <c r="T15" s="308"/>
      <c r="U15" s="308"/>
      <c r="V15" s="308"/>
      <c r="W15" s="308"/>
    </row>
    <row r="16" spans="1:23" ht="22.5" customHeight="1">
      <c r="A16" s="367"/>
      <c r="B16" s="557" t="s">
        <v>780</v>
      </c>
      <c r="C16" s="558"/>
      <c r="D16" s="558"/>
      <c r="E16" s="559"/>
      <c r="F16" s="367"/>
      <c r="G16" s="367"/>
      <c r="H16" s="367"/>
      <c r="I16" s="367"/>
      <c r="J16" s="308"/>
      <c r="K16" s="308"/>
      <c r="L16" s="308"/>
      <c r="M16" s="308"/>
      <c r="N16" s="308"/>
      <c r="O16" s="308"/>
      <c r="P16" s="308"/>
      <c r="Q16" s="308"/>
      <c r="R16" s="308"/>
      <c r="S16" s="308"/>
      <c r="T16" s="308"/>
      <c r="U16" s="308"/>
      <c r="V16" s="308"/>
      <c r="W16" s="308"/>
    </row>
    <row r="17" spans="1:23" ht="78.75" customHeight="1">
      <c r="A17" s="367"/>
      <c r="B17" s="358">
        <f>B15+1</f>
        <v>10</v>
      </c>
      <c r="C17" s="361" t="s">
        <v>780</v>
      </c>
      <c r="D17" s="359" t="s">
        <v>1096</v>
      </c>
      <c r="E17" s="360"/>
      <c r="F17" s="367"/>
      <c r="G17" s="367"/>
      <c r="H17" s="367"/>
      <c r="I17" s="367"/>
      <c r="J17" s="308"/>
      <c r="K17" s="308"/>
      <c r="L17" s="308"/>
      <c r="M17" s="308"/>
      <c r="N17" s="308"/>
      <c r="O17" s="308"/>
      <c r="P17" s="308"/>
      <c r="Q17" s="308"/>
      <c r="R17" s="308"/>
      <c r="S17" s="308"/>
      <c r="T17" s="308"/>
      <c r="U17" s="308"/>
      <c r="V17" s="308"/>
      <c r="W17" s="308"/>
    </row>
    <row r="18" spans="1:23" ht="16.5" customHeight="1">
      <c r="A18" s="367"/>
      <c r="B18" s="358">
        <f>B17+1</f>
        <v>11</v>
      </c>
      <c r="C18" s="361" t="s">
        <v>1088</v>
      </c>
      <c r="D18" s="362" t="s">
        <v>1095</v>
      </c>
      <c r="E18" s="474" t="s">
        <v>1091</v>
      </c>
      <c r="F18" s="367"/>
      <c r="G18" s="367"/>
      <c r="H18" s="367"/>
      <c r="I18" s="367"/>
      <c r="J18" s="308"/>
      <c r="K18" s="308"/>
      <c r="L18" s="308"/>
      <c r="M18" s="308"/>
      <c r="N18" s="308"/>
      <c r="O18" s="308"/>
      <c r="P18" s="308"/>
      <c r="Q18" s="308"/>
      <c r="R18" s="308"/>
      <c r="S18" s="308"/>
      <c r="T18" s="308"/>
      <c r="U18" s="308"/>
      <c r="V18" s="308"/>
      <c r="W18" s="308"/>
    </row>
    <row r="19" spans="1:23" ht="68.25" customHeight="1">
      <c r="A19" s="367"/>
      <c r="B19" s="358">
        <f t="shared" ref="B19:B25" si="1">B18+1</f>
        <v>12</v>
      </c>
      <c r="C19" s="361" t="s">
        <v>1042</v>
      </c>
      <c r="D19" s="359" t="s">
        <v>1097</v>
      </c>
      <c r="E19" s="363" t="s">
        <v>1092</v>
      </c>
      <c r="F19" s="367"/>
      <c r="G19" s="367"/>
      <c r="H19" s="367"/>
      <c r="I19" s="367"/>
      <c r="J19" s="308"/>
      <c r="K19" s="308"/>
      <c r="L19" s="308"/>
      <c r="M19" s="308"/>
      <c r="N19" s="308"/>
      <c r="O19" s="308"/>
      <c r="P19" s="308"/>
      <c r="Q19" s="308"/>
      <c r="R19" s="308"/>
      <c r="S19" s="308"/>
      <c r="T19" s="308"/>
      <c r="U19" s="308"/>
      <c r="V19" s="308"/>
      <c r="W19" s="308"/>
    </row>
    <row r="20" spans="1:23" ht="26.65" customHeight="1">
      <c r="A20" s="367"/>
      <c r="B20" s="358">
        <f t="shared" si="1"/>
        <v>13</v>
      </c>
      <c r="C20" s="361" t="s">
        <v>1089</v>
      </c>
      <c r="D20" s="362" t="s">
        <v>1098</v>
      </c>
      <c r="E20" s="363" t="s">
        <v>1093</v>
      </c>
      <c r="F20" s="367"/>
      <c r="G20" s="367"/>
      <c r="H20" s="367"/>
      <c r="I20" s="367"/>
      <c r="J20" s="308"/>
      <c r="K20" s="308"/>
      <c r="L20" s="308"/>
      <c r="M20" s="308"/>
      <c r="N20" s="308"/>
      <c r="O20" s="308"/>
      <c r="P20" s="308"/>
      <c r="Q20" s="308"/>
      <c r="R20" s="308"/>
      <c r="S20" s="308"/>
      <c r="T20" s="308"/>
      <c r="U20" s="308"/>
      <c r="V20" s="308"/>
      <c r="W20" s="308"/>
    </row>
    <row r="21" spans="1:23" ht="32.25" customHeight="1">
      <c r="A21" s="367"/>
      <c r="B21" s="358">
        <f>B20+1</f>
        <v>14</v>
      </c>
      <c r="C21" s="361" t="s">
        <v>1090</v>
      </c>
      <c r="D21" s="359" t="s">
        <v>1099</v>
      </c>
      <c r="E21" s="363" t="s">
        <v>1094</v>
      </c>
      <c r="F21" s="367"/>
      <c r="G21" s="367"/>
      <c r="H21" s="367"/>
      <c r="I21" s="367"/>
      <c r="J21" s="308"/>
      <c r="K21" s="308"/>
      <c r="L21" s="308"/>
      <c r="M21" s="308"/>
      <c r="N21" s="308"/>
      <c r="O21" s="308"/>
      <c r="P21" s="308"/>
      <c r="Q21" s="308"/>
      <c r="R21" s="308"/>
      <c r="S21" s="308"/>
      <c r="T21" s="308"/>
      <c r="U21" s="308"/>
      <c r="V21" s="308"/>
      <c r="W21" s="308"/>
    </row>
    <row r="22" spans="1:23" ht="55.5" customHeight="1">
      <c r="A22" s="367"/>
      <c r="B22" s="358">
        <f>B21+1</f>
        <v>15</v>
      </c>
      <c r="C22" s="361" t="s">
        <v>758</v>
      </c>
      <c r="D22" s="362" t="s">
        <v>939</v>
      </c>
      <c r="E22" s="363" t="s">
        <v>759</v>
      </c>
      <c r="F22" s="367"/>
      <c r="G22" s="367"/>
      <c r="H22" s="367"/>
      <c r="I22" s="367"/>
      <c r="J22" s="308"/>
      <c r="K22" s="308"/>
      <c r="L22" s="308"/>
      <c r="M22" s="308"/>
      <c r="N22" s="308"/>
      <c r="O22" s="308"/>
      <c r="P22" s="308"/>
      <c r="Q22" s="308"/>
      <c r="R22" s="308"/>
      <c r="S22" s="308"/>
      <c r="T22" s="308"/>
      <c r="U22" s="308"/>
      <c r="V22" s="308"/>
      <c r="W22" s="308"/>
    </row>
    <row r="23" spans="1:23" ht="95.65" customHeight="1">
      <c r="A23" s="367"/>
      <c r="B23" s="358">
        <f t="shared" si="1"/>
        <v>16</v>
      </c>
      <c r="C23" s="361" t="s">
        <v>757</v>
      </c>
      <c r="D23" s="365" t="s">
        <v>791</v>
      </c>
      <c r="E23" s="363" t="s">
        <v>41</v>
      </c>
      <c r="F23" s="367"/>
      <c r="G23" s="367"/>
      <c r="H23" s="367"/>
      <c r="I23" s="367"/>
      <c r="J23" s="308"/>
      <c r="K23" s="308"/>
      <c r="L23" s="308"/>
      <c r="M23" s="308"/>
      <c r="N23" s="308"/>
      <c r="O23" s="308"/>
      <c r="P23" s="308"/>
      <c r="Q23" s="308"/>
      <c r="R23" s="308"/>
      <c r="S23" s="308"/>
      <c r="T23" s="308"/>
      <c r="U23" s="308"/>
      <c r="V23" s="308"/>
      <c r="W23" s="308"/>
    </row>
    <row r="24" spans="1:23" ht="42" customHeight="1">
      <c r="A24" s="367"/>
      <c r="B24" s="358">
        <f t="shared" si="1"/>
        <v>17</v>
      </c>
      <c r="C24" s="361" t="s">
        <v>766</v>
      </c>
      <c r="D24" s="366" t="s">
        <v>868</v>
      </c>
      <c r="E24" s="363" t="s">
        <v>768</v>
      </c>
      <c r="F24" s="367"/>
      <c r="G24" s="367"/>
      <c r="H24" s="367"/>
      <c r="I24" s="367"/>
      <c r="J24" s="308"/>
      <c r="K24" s="308"/>
      <c r="L24" s="308"/>
      <c r="M24" s="308"/>
      <c r="N24" s="308"/>
      <c r="O24" s="308"/>
      <c r="P24" s="308"/>
      <c r="Q24" s="308"/>
      <c r="R24" s="308"/>
      <c r="S24" s="308"/>
      <c r="T24" s="308"/>
      <c r="U24" s="308"/>
      <c r="V24" s="308"/>
      <c r="W24" s="308"/>
    </row>
    <row r="25" spans="1:23" ht="84" customHeight="1">
      <c r="A25" s="367"/>
      <c r="B25" s="358">
        <f t="shared" si="1"/>
        <v>18</v>
      </c>
      <c r="C25" s="361" t="s">
        <v>763</v>
      </c>
      <c r="D25" s="365" t="s">
        <v>881</v>
      </c>
      <c r="E25" s="363" t="s">
        <v>285</v>
      </c>
      <c r="F25" s="367"/>
      <c r="G25" s="367"/>
      <c r="H25" s="367"/>
      <c r="I25" s="367"/>
      <c r="J25" s="308"/>
      <c r="K25" s="308"/>
      <c r="L25" s="308"/>
      <c r="M25" s="308"/>
      <c r="N25" s="308"/>
      <c r="O25" s="308"/>
      <c r="P25" s="308"/>
      <c r="Q25" s="308"/>
      <c r="R25" s="308"/>
      <c r="S25" s="308"/>
      <c r="T25" s="308"/>
      <c r="U25" s="308"/>
      <c r="V25" s="308"/>
      <c r="W25" s="308"/>
    </row>
    <row r="26" spans="1:23" ht="35.25" customHeight="1">
      <c r="A26" s="367"/>
      <c r="B26" s="560" t="s">
        <v>781</v>
      </c>
      <c r="C26" s="561"/>
      <c r="D26" s="561"/>
      <c r="E26" s="562"/>
      <c r="F26" s="367"/>
      <c r="G26" s="367"/>
      <c r="H26" s="367"/>
      <c r="I26" s="367"/>
      <c r="J26" s="308"/>
      <c r="K26" s="308"/>
      <c r="L26" s="308"/>
      <c r="M26" s="308"/>
      <c r="N26" s="308"/>
      <c r="O26" s="308"/>
      <c r="P26" s="308"/>
      <c r="Q26" s="308"/>
      <c r="R26" s="308"/>
      <c r="S26" s="308"/>
      <c r="T26" s="308"/>
      <c r="U26" s="308"/>
      <c r="V26" s="308"/>
      <c r="W26" s="308"/>
    </row>
    <row r="27" spans="1:23">
      <c r="A27" s="367"/>
      <c r="B27" s="358">
        <f>B25+1</f>
        <v>19</v>
      </c>
      <c r="C27" s="361" t="s">
        <v>215</v>
      </c>
      <c r="D27" s="366" t="s">
        <v>796</v>
      </c>
      <c r="E27" s="363" t="s">
        <v>215</v>
      </c>
      <c r="F27" s="367"/>
      <c r="G27" s="367"/>
      <c r="H27" s="367"/>
      <c r="I27" s="367"/>
      <c r="J27" s="308"/>
      <c r="K27" s="308"/>
      <c r="L27" s="308"/>
      <c r="M27" s="308"/>
      <c r="N27" s="308"/>
      <c r="O27" s="308"/>
      <c r="P27" s="308"/>
      <c r="Q27" s="308"/>
      <c r="R27" s="308"/>
      <c r="S27" s="308"/>
      <c r="T27" s="308"/>
      <c r="U27" s="308"/>
      <c r="V27" s="308"/>
      <c r="W27" s="308"/>
    </row>
    <row r="28" spans="1:23">
      <c r="A28" s="367"/>
      <c r="B28" s="358">
        <f>B27+1</f>
        <v>20</v>
      </c>
      <c r="C28" s="361" t="s">
        <v>782</v>
      </c>
      <c r="D28" s="365" t="s">
        <v>797</v>
      </c>
      <c r="E28" s="363" t="s">
        <v>782</v>
      </c>
      <c r="F28" s="367"/>
      <c r="G28" s="367"/>
      <c r="H28" s="367"/>
      <c r="I28" s="367"/>
      <c r="J28" s="308"/>
      <c r="K28" s="308"/>
      <c r="L28" s="308"/>
      <c r="M28" s="308"/>
      <c r="N28" s="308"/>
      <c r="O28" s="308"/>
      <c r="P28" s="308"/>
      <c r="Q28" s="308"/>
      <c r="R28" s="308"/>
      <c r="S28" s="308"/>
      <c r="T28" s="308"/>
      <c r="U28" s="308"/>
      <c r="V28" s="308"/>
      <c r="W28" s="308"/>
    </row>
    <row r="29" spans="1:23">
      <c r="A29" s="367"/>
      <c r="B29" s="358">
        <f t="shared" ref="B29:B38" si="2">B28+1</f>
        <v>21</v>
      </c>
      <c r="C29" s="361" t="s">
        <v>783</v>
      </c>
      <c r="D29" s="366" t="s">
        <v>798</v>
      </c>
      <c r="E29" s="363" t="s">
        <v>783</v>
      </c>
      <c r="F29" s="367"/>
      <c r="G29" s="367"/>
      <c r="H29" s="367"/>
      <c r="I29" s="367"/>
      <c r="J29" s="308"/>
      <c r="K29" s="308"/>
      <c r="L29" s="308"/>
      <c r="M29" s="308"/>
      <c r="N29" s="308"/>
      <c r="O29" s="308"/>
      <c r="P29" s="308"/>
      <c r="Q29" s="308"/>
      <c r="R29" s="308"/>
      <c r="S29" s="308"/>
      <c r="T29" s="308"/>
      <c r="U29" s="308"/>
      <c r="V29" s="308"/>
      <c r="W29" s="308"/>
    </row>
    <row r="30" spans="1:23">
      <c r="A30" s="367"/>
      <c r="B30" s="358">
        <f t="shared" si="2"/>
        <v>22</v>
      </c>
      <c r="C30" s="361" t="s">
        <v>15</v>
      </c>
      <c r="D30" s="365" t="s">
        <v>799</v>
      </c>
      <c r="E30" s="363" t="s">
        <v>15</v>
      </c>
      <c r="F30" s="367"/>
      <c r="G30" s="367"/>
      <c r="H30" s="367"/>
      <c r="I30" s="367"/>
      <c r="J30" s="308"/>
      <c r="K30" s="308"/>
      <c r="L30" s="308"/>
      <c r="M30" s="308"/>
      <c r="N30" s="308"/>
      <c r="O30" s="308"/>
      <c r="P30" s="308"/>
      <c r="Q30" s="308"/>
      <c r="R30" s="308"/>
      <c r="S30" s="308"/>
      <c r="T30" s="308"/>
      <c r="U30" s="308"/>
      <c r="V30" s="308"/>
      <c r="W30" s="308"/>
    </row>
    <row r="31" spans="1:23">
      <c r="A31" s="367"/>
      <c r="B31" s="358">
        <f t="shared" si="2"/>
        <v>23</v>
      </c>
      <c r="C31" s="361" t="s">
        <v>132</v>
      </c>
      <c r="D31" s="366" t="s">
        <v>800</v>
      </c>
      <c r="E31" s="363" t="s">
        <v>132</v>
      </c>
      <c r="F31" s="367"/>
      <c r="G31" s="367"/>
      <c r="H31" s="367"/>
      <c r="I31" s="367"/>
      <c r="J31" s="308"/>
      <c r="K31" s="308"/>
      <c r="L31" s="308"/>
      <c r="M31" s="308"/>
      <c r="N31" s="308"/>
      <c r="O31" s="308"/>
      <c r="P31" s="308"/>
      <c r="Q31" s="308"/>
      <c r="R31" s="308"/>
      <c r="S31" s="308"/>
      <c r="T31" s="308"/>
      <c r="U31" s="308"/>
      <c r="V31" s="308"/>
      <c r="W31" s="308"/>
    </row>
    <row r="32" spans="1:23">
      <c r="A32" s="367"/>
      <c r="B32" s="358">
        <f t="shared" si="2"/>
        <v>24</v>
      </c>
      <c r="C32" s="361" t="s">
        <v>19</v>
      </c>
      <c r="D32" s="365" t="s">
        <v>882</v>
      </c>
      <c r="E32" s="363" t="s">
        <v>19</v>
      </c>
      <c r="F32" s="367"/>
      <c r="G32" s="367"/>
      <c r="H32" s="367"/>
      <c r="I32" s="367"/>
      <c r="J32" s="308"/>
      <c r="K32" s="308"/>
      <c r="L32" s="308"/>
      <c r="M32" s="308"/>
      <c r="N32" s="308"/>
      <c r="O32" s="308"/>
      <c r="P32" s="308"/>
      <c r="Q32" s="308"/>
      <c r="R32" s="308"/>
      <c r="S32" s="308"/>
      <c r="T32" s="308"/>
      <c r="U32" s="308"/>
      <c r="V32" s="308"/>
      <c r="W32" s="308"/>
    </row>
    <row r="33" spans="1:23">
      <c r="A33" s="367"/>
      <c r="B33" s="358">
        <f t="shared" si="2"/>
        <v>25</v>
      </c>
      <c r="C33" s="361" t="s">
        <v>38</v>
      </c>
      <c r="D33" s="366" t="s">
        <v>883</v>
      </c>
      <c r="E33" s="363" t="s">
        <v>38</v>
      </c>
      <c r="F33" s="367"/>
      <c r="G33" s="367"/>
      <c r="H33" s="367"/>
      <c r="I33" s="367"/>
      <c r="J33" s="308"/>
      <c r="K33" s="308"/>
      <c r="L33" s="308"/>
      <c r="M33" s="308"/>
      <c r="N33" s="308"/>
      <c r="O33" s="308"/>
      <c r="P33" s="308"/>
      <c r="Q33" s="308"/>
      <c r="R33" s="308"/>
      <c r="S33" s="308"/>
      <c r="T33" s="308"/>
      <c r="U33" s="308"/>
      <c r="V33" s="308"/>
      <c r="W33" s="308"/>
    </row>
    <row r="34" spans="1:23">
      <c r="A34" s="367"/>
      <c r="B34" s="358">
        <f t="shared" si="2"/>
        <v>26</v>
      </c>
      <c r="C34" s="361" t="s">
        <v>784</v>
      </c>
      <c r="D34" s="365" t="s">
        <v>801</v>
      </c>
      <c r="E34" s="363" t="s">
        <v>806</v>
      </c>
      <c r="F34" s="367"/>
      <c r="G34" s="367"/>
      <c r="H34" s="367"/>
      <c r="I34" s="367"/>
      <c r="J34" s="308"/>
      <c r="K34" s="308"/>
      <c r="L34" s="308"/>
      <c r="M34" s="308"/>
      <c r="N34" s="308"/>
      <c r="O34" s="308"/>
      <c r="P34" s="308"/>
      <c r="Q34" s="308"/>
      <c r="R34" s="308"/>
      <c r="S34" s="308"/>
      <c r="T34" s="308"/>
      <c r="U34" s="308"/>
      <c r="V34" s="308"/>
      <c r="W34" s="308"/>
    </row>
    <row r="35" spans="1:23">
      <c r="A35" s="367"/>
      <c r="B35" s="358">
        <f t="shared" si="2"/>
        <v>27</v>
      </c>
      <c r="C35" s="361" t="s">
        <v>785</v>
      </c>
      <c r="D35" s="366" t="s">
        <v>802</v>
      </c>
      <c r="E35" s="363" t="s">
        <v>807</v>
      </c>
      <c r="F35" s="367"/>
      <c r="G35" s="367"/>
      <c r="H35" s="367"/>
      <c r="I35" s="367"/>
      <c r="J35" s="308"/>
      <c r="K35" s="308"/>
      <c r="L35" s="308"/>
      <c r="M35" s="308"/>
      <c r="N35" s="308"/>
      <c r="O35" s="308"/>
      <c r="P35" s="308"/>
      <c r="Q35" s="308"/>
      <c r="R35" s="308"/>
      <c r="S35" s="308"/>
      <c r="T35" s="308"/>
      <c r="U35" s="308"/>
      <c r="V35" s="308"/>
      <c r="W35" s="308"/>
    </row>
    <row r="36" spans="1:23" ht="30">
      <c r="A36" s="367"/>
      <c r="B36" s="358">
        <f t="shared" si="2"/>
        <v>28</v>
      </c>
      <c r="C36" s="361" t="s">
        <v>786</v>
      </c>
      <c r="D36" s="365" t="s">
        <v>803</v>
      </c>
      <c r="E36" s="363" t="s">
        <v>808</v>
      </c>
      <c r="F36" s="367"/>
      <c r="G36" s="367"/>
      <c r="H36" s="367"/>
      <c r="I36" s="367"/>
      <c r="J36" s="308"/>
      <c r="K36" s="308"/>
      <c r="L36" s="308"/>
      <c r="M36" s="308"/>
      <c r="N36" s="308"/>
      <c r="O36" s="308"/>
      <c r="P36" s="308"/>
      <c r="Q36" s="308"/>
      <c r="R36" s="308"/>
      <c r="S36" s="308"/>
      <c r="T36" s="308"/>
      <c r="U36" s="308"/>
      <c r="V36" s="308"/>
      <c r="W36" s="308"/>
    </row>
    <row r="37" spans="1:23" ht="30">
      <c r="A37" s="367"/>
      <c r="B37" s="358">
        <f t="shared" si="2"/>
        <v>29</v>
      </c>
      <c r="C37" s="361" t="s">
        <v>787</v>
      </c>
      <c r="D37" s="366" t="s">
        <v>804</v>
      </c>
      <c r="E37" s="363" t="s">
        <v>809</v>
      </c>
      <c r="F37" s="367"/>
      <c r="G37" s="367"/>
      <c r="H37" s="367"/>
      <c r="I37" s="367"/>
      <c r="J37" s="308"/>
      <c r="K37" s="308"/>
      <c r="L37" s="308"/>
      <c r="M37" s="308"/>
      <c r="N37" s="308"/>
      <c r="O37" s="308"/>
      <c r="P37" s="308"/>
      <c r="Q37" s="308"/>
      <c r="R37" s="308"/>
      <c r="S37" s="308"/>
      <c r="T37" s="308"/>
      <c r="U37" s="308"/>
      <c r="V37" s="308"/>
      <c r="W37" s="308"/>
    </row>
    <row r="38" spans="1:23" ht="30">
      <c r="A38" s="367"/>
      <c r="B38" s="358">
        <f t="shared" si="2"/>
        <v>30</v>
      </c>
      <c r="C38" s="361" t="s">
        <v>788</v>
      </c>
      <c r="D38" s="365" t="s">
        <v>805</v>
      </c>
      <c r="E38" s="363" t="s">
        <v>810</v>
      </c>
      <c r="F38" s="367"/>
      <c r="G38" s="367"/>
      <c r="H38" s="367"/>
      <c r="I38" s="367"/>
      <c r="J38" s="308"/>
      <c r="K38" s="308"/>
      <c r="L38" s="308"/>
      <c r="M38" s="308"/>
      <c r="N38" s="308"/>
      <c r="O38" s="308"/>
      <c r="P38" s="308"/>
      <c r="Q38" s="308"/>
      <c r="R38" s="308"/>
      <c r="S38" s="308"/>
      <c r="T38" s="308"/>
      <c r="U38" s="308"/>
      <c r="V38" s="308"/>
      <c r="W38" s="308"/>
    </row>
    <row r="39" spans="1:23" ht="21">
      <c r="A39" s="367"/>
      <c r="B39" s="563" t="s">
        <v>789</v>
      </c>
      <c r="C39" s="564"/>
      <c r="D39" s="564"/>
      <c r="E39" s="565"/>
      <c r="F39" s="367"/>
      <c r="G39" s="367"/>
      <c r="H39" s="367"/>
      <c r="I39" s="367"/>
      <c r="J39" s="308"/>
      <c r="K39" s="308"/>
      <c r="L39" s="308"/>
      <c r="M39" s="308"/>
      <c r="N39" s="308"/>
      <c r="O39" s="308"/>
      <c r="P39" s="308"/>
      <c r="Q39" s="308"/>
      <c r="R39" s="308"/>
      <c r="S39" s="308"/>
      <c r="T39" s="308"/>
      <c r="U39" s="308"/>
      <c r="V39" s="308"/>
      <c r="W39" s="308"/>
    </row>
    <row r="40" spans="1:23">
      <c r="A40" s="367"/>
      <c r="B40" s="358">
        <f>B38+1</f>
        <v>31</v>
      </c>
      <c r="C40" s="361" t="s">
        <v>790</v>
      </c>
      <c r="D40" s="366" t="s">
        <v>812</v>
      </c>
      <c r="E40" s="363" t="s">
        <v>811</v>
      </c>
      <c r="F40" s="367"/>
      <c r="G40" s="367"/>
      <c r="H40" s="367"/>
      <c r="I40" s="367"/>
      <c r="J40" s="308"/>
      <c r="K40" s="308"/>
      <c r="L40" s="308"/>
      <c r="M40" s="308"/>
      <c r="N40" s="308"/>
      <c r="O40" s="308"/>
      <c r="P40" s="308"/>
      <c r="Q40" s="308"/>
      <c r="R40" s="308"/>
      <c r="S40" s="308"/>
      <c r="T40" s="308"/>
      <c r="U40" s="308"/>
      <c r="V40" s="308"/>
      <c r="W40" s="308"/>
    </row>
    <row r="41" spans="1:23" hidden="1">
      <c r="A41" s="367"/>
      <c r="B41" s="308"/>
      <c r="C41" s="308"/>
      <c r="D41" s="308"/>
      <c r="E41" s="308"/>
      <c r="F41" s="367"/>
      <c r="G41" s="367"/>
      <c r="H41" s="367"/>
      <c r="I41" s="367"/>
      <c r="J41" s="308"/>
      <c r="K41" s="308"/>
      <c r="L41" s="308"/>
      <c r="M41" s="308"/>
      <c r="N41" s="308"/>
      <c r="O41" s="308"/>
      <c r="P41" s="308"/>
      <c r="Q41" s="308"/>
      <c r="R41" s="308"/>
      <c r="S41" s="308"/>
      <c r="T41" s="308"/>
      <c r="U41" s="308"/>
      <c r="V41" s="308"/>
      <c r="W41" s="308"/>
    </row>
    <row r="42" spans="1:23" hidden="1">
      <c r="A42" s="367"/>
      <c r="B42" s="308"/>
      <c r="C42" s="308"/>
      <c r="D42" s="308"/>
      <c r="E42" s="308"/>
      <c r="F42" s="367"/>
      <c r="G42" s="367"/>
      <c r="H42" s="367"/>
      <c r="I42" s="367"/>
      <c r="J42" s="308"/>
      <c r="K42" s="308"/>
      <c r="L42" s="308"/>
      <c r="M42" s="308"/>
      <c r="N42" s="308"/>
      <c r="O42" s="308"/>
      <c r="P42" s="308"/>
      <c r="Q42" s="308"/>
      <c r="R42" s="308"/>
      <c r="S42" s="308"/>
      <c r="T42" s="308"/>
      <c r="U42" s="308"/>
      <c r="V42" s="308"/>
      <c r="W42" s="308"/>
    </row>
    <row r="43" spans="1:23" hidden="1">
      <c r="A43" s="367"/>
      <c r="B43" s="308"/>
      <c r="C43" s="308"/>
      <c r="D43" s="308"/>
      <c r="E43" s="308"/>
      <c r="F43" s="367"/>
      <c r="G43" s="367"/>
      <c r="H43" s="367"/>
      <c r="I43" s="367"/>
      <c r="J43" s="308"/>
      <c r="K43" s="308"/>
      <c r="L43" s="308"/>
      <c r="M43" s="308"/>
      <c r="N43" s="308"/>
      <c r="O43" s="308"/>
      <c r="P43" s="308"/>
      <c r="Q43" s="308"/>
      <c r="R43" s="308"/>
      <c r="S43" s="308"/>
      <c r="T43" s="308"/>
      <c r="U43" s="308"/>
      <c r="V43" s="308"/>
      <c r="W43" s="308"/>
    </row>
    <row r="44" spans="1:23" hidden="1">
      <c r="A44" s="367"/>
      <c r="B44" s="308"/>
      <c r="C44" s="308"/>
      <c r="D44" s="308"/>
      <c r="E44" s="308"/>
      <c r="F44" s="367"/>
      <c r="G44" s="367"/>
      <c r="H44" s="367"/>
      <c r="I44" s="367"/>
      <c r="J44" s="308"/>
      <c r="K44" s="308"/>
      <c r="L44" s="308"/>
      <c r="M44" s="308"/>
      <c r="N44" s="308"/>
      <c r="O44" s="308"/>
      <c r="P44" s="308"/>
      <c r="Q44" s="308"/>
      <c r="R44" s="308"/>
      <c r="S44" s="308"/>
      <c r="T44" s="308"/>
      <c r="U44" s="308"/>
      <c r="V44" s="308"/>
      <c r="W44" s="308"/>
    </row>
    <row r="45" spans="1:23" hidden="1">
      <c r="A45" s="367"/>
      <c r="B45" s="308"/>
      <c r="C45" s="308"/>
      <c r="D45" s="308"/>
      <c r="E45" s="308"/>
      <c r="F45" s="367"/>
      <c r="G45" s="367"/>
      <c r="H45" s="367"/>
      <c r="I45" s="367"/>
      <c r="J45" s="308"/>
      <c r="K45" s="308"/>
      <c r="L45" s="308"/>
      <c r="M45" s="308"/>
      <c r="N45" s="308"/>
      <c r="O45" s="308"/>
      <c r="P45" s="308"/>
      <c r="Q45" s="308"/>
      <c r="R45" s="308"/>
      <c r="S45" s="308"/>
      <c r="T45" s="308"/>
      <c r="U45" s="308"/>
      <c r="V45" s="308"/>
      <c r="W45" s="308"/>
    </row>
    <row r="46" spans="1:23">
      <c r="A46" s="367"/>
      <c r="B46" s="367"/>
      <c r="C46" s="367"/>
      <c r="D46" s="367"/>
      <c r="E46" s="367"/>
      <c r="F46" s="367"/>
      <c r="G46" s="367"/>
      <c r="H46" s="367"/>
      <c r="I46" s="367"/>
      <c r="J46" s="308"/>
      <c r="K46" s="308"/>
      <c r="L46" s="308"/>
      <c r="M46" s="308"/>
      <c r="N46" s="308"/>
      <c r="O46" s="308"/>
      <c r="P46" s="308"/>
      <c r="Q46" s="308"/>
      <c r="R46" s="308"/>
      <c r="S46" s="308"/>
      <c r="T46" s="308"/>
      <c r="U46" s="308"/>
      <c r="V46" s="308"/>
      <c r="W46" s="308"/>
    </row>
    <row r="47" spans="1:23">
      <c r="A47" s="367"/>
      <c r="B47" s="367"/>
      <c r="C47" s="367"/>
      <c r="D47" s="367"/>
      <c r="E47" s="367"/>
      <c r="F47" s="367"/>
      <c r="G47" s="367"/>
      <c r="H47" s="367"/>
      <c r="I47" s="367"/>
      <c r="J47" s="308"/>
      <c r="K47" s="308"/>
      <c r="L47" s="308"/>
      <c r="M47" s="308"/>
      <c r="N47" s="308"/>
      <c r="O47" s="308"/>
      <c r="P47" s="308"/>
      <c r="Q47" s="308"/>
      <c r="R47" s="308"/>
      <c r="S47" s="308"/>
      <c r="T47" s="308"/>
      <c r="U47" s="308"/>
      <c r="V47" s="308"/>
      <c r="W47" s="308"/>
    </row>
    <row r="48" spans="1:23">
      <c r="A48" s="367"/>
      <c r="B48" s="367"/>
      <c r="C48" s="367"/>
      <c r="D48" s="367"/>
      <c r="E48" s="367"/>
      <c r="F48" s="367"/>
      <c r="G48" s="367"/>
      <c r="H48" s="367"/>
      <c r="I48" s="367"/>
      <c r="J48" s="308"/>
      <c r="K48" s="308"/>
      <c r="L48" s="308"/>
      <c r="M48" s="308"/>
      <c r="N48" s="308"/>
      <c r="O48" s="308"/>
      <c r="P48" s="308"/>
      <c r="Q48" s="308"/>
      <c r="R48" s="308"/>
      <c r="S48" s="308"/>
      <c r="T48" s="308"/>
      <c r="U48" s="308"/>
      <c r="V48" s="308"/>
      <c r="W48" s="308"/>
    </row>
    <row r="49" spans="1:23">
      <c r="A49" s="367"/>
      <c r="B49" s="367"/>
      <c r="C49" s="367"/>
      <c r="D49" s="367"/>
      <c r="E49" s="367"/>
      <c r="F49" s="367"/>
      <c r="G49" s="367"/>
      <c r="H49" s="367"/>
      <c r="I49" s="367"/>
      <c r="J49" s="308"/>
      <c r="K49" s="308"/>
      <c r="L49" s="308"/>
      <c r="M49" s="308"/>
      <c r="N49" s="308"/>
      <c r="O49" s="308"/>
      <c r="P49" s="308"/>
      <c r="Q49" s="308"/>
      <c r="R49" s="308"/>
      <c r="S49" s="308"/>
      <c r="T49" s="308"/>
      <c r="U49" s="308"/>
      <c r="V49" s="308"/>
      <c r="W49" s="308"/>
    </row>
    <row r="50" spans="1:23">
      <c r="A50" s="367"/>
      <c r="B50" s="367"/>
      <c r="C50" s="367"/>
      <c r="D50" s="367"/>
      <c r="E50" s="367"/>
      <c r="F50" s="367"/>
      <c r="G50" s="367"/>
      <c r="H50" s="367"/>
      <c r="I50" s="367"/>
      <c r="J50" s="308"/>
      <c r="K50" s="308"/>
      <c r="L50" s="308"/>
      <c r="M50" s="308"/>
      <c r="N50" s="308"/>
      <c r="O50" s="308"/>
      <c r="P50" s="308"/>
      <c r="Q50" s="308"/>
      <c r="R50" s="308"/>
      <c r="S50" s="308"/>
      <c r="T50" s="308"/>
      <c r="U50" s="308"/>
      <c r="V50" s="308"/>
      <c r="W50" s="308"/>
    </row>
    <row r="51" spans="1:23">
      <c r="A51" s="367"/>
      <c r="B51" s="367"/>
      <c r="C51" s="367"/>
      <c r="D51" s="367"/>
      <c r="E51" s="367"/>
      <c r="F51" s="367"/>
      <c r="G51" s="367"/>
      <c r="H51" s="367"/>
      <c r="I51" s="367"/>
      <c r="J51" s="308"/>
      <c r="K51" s="308"/>
      <c r="L51" s="308"/>
      <c r="M51" s="308"/>
      <c r="N51" s="308"/>
      <c r="O51" s="308"/>
      <c r="P51" s="308"/>
      <c r="Q51" s="308"/>
      <c r="R51" s="308"/>
      <c r="S51" s="308"/>
      <c r="T51" s="308"/>
      <c r="U51" s="308"/>
      <c r="V51" s="308"/>
      <c r="W51" s="308"/>
    </row>
    <row r="52" spans="1:23">
      <c r="A52" s="367"/>
      <c r="B52" s="367"/>
      <c r="C52" s="367"/>
      <c r="D52" s="367"/>
      <c r="E52" s="367"/>
      <c r="F52" s="367"/>
      <c r="G52" s="367"/>
      <c r="H52" s="367"/>
      <c r="I52" s="367"/>
      <c r="J52" s="308"/>
      <c r="K52" s="308"/>
      <c r="L52" s="308"/>
      <c r="M52" s="308"/>
      <c r="N52" s="308"/>
      <c r="O52" s="308"/>
      <c r="P52" s="308"/>
      <c r="Q52" s="308"/>
      <c r="R52" s="308"/>
      <c r="S52" s="308"/>
      <c r="T52" s="308"/>
      <c r="U52" s="308"/>
      <c r="V52" s="308"/>
      <c r="W52" s="308"/>
    </row>
    <row r="53" spans="1:23" ht="46.5" customHeight="1">
      <c r="A53" s="367"/>
      <c r="B53" s="367"/>
      <c r="C53" s="367"/>
      <c r="D53" s="367"/>
      <c r="E53" s="367"/>
      <c r="F53" s="367"/>
      <c r="G53" s="367"/>
      <c r="H53" s="367"/>
      <c r="I53" s="367"/>
      <c r="J53" s="308"/>
      <c r="K53" s="308"/>
      <c r="L53" s="308"/>
      <c r="M53" s="308"/>
      <c r="N53" s="308"/>
      <c r="O53" s="308"/>
      <c r="P53" s="308"/>
      <c r="Q53" s="308"/>
      <c r="R53" s="308"/>
      <c r="S53" s="308"/>
      <c r="T53" s="308"/>
      <c r="U53" s="308"/>
      <c r="V53" s="308"/>
      <c r="W53" s="308"/>
    </row>
    <row r="54" spans="1:23">
      <c r="A54" s="367"/>
      <c r="B54" s="367"/>
      <c r="C54" s="367"/>
      <c r="D54" s="367"/>
      <c r="E54" s="367"/>
      <c r="F54" s="367"/>
      <c r="G54" s="367"/>
      <c r="H54" s="367"/>
      <c r="I54" s="367"/>
      <c r="J54" s="308"/>
      <c r="K54" s="308"/>
      <c r="L54" s="308"/>
      <c r="M54" s="308"/>
      <c r="N54" s="308"/>
      <c r="O54" s="308"/>
      <c r="P54" s="308"/>
      <c r="Q54" s="308"/>
      <c r="R54" s="308"/>
      <c r="S54" s="308"/>
      <c r="T54" s="308"/>
      <c r="U54" s="308"/>
      <c r="V54" s="308"/>
      <c r="W54" s="308"/>
    </row>
    <row r="55" spans="1:23">
      <c r="A55" s="367"/>
      <c r="B55" s="367"/>
      <c r="C55" s="367"/>
      <c r="D55" s="367"/>
      <c r="E55" s="367"/>
      <c r="F55" s="367"/>
      <c r="G55" s="367"/>
      <c r="H55" s="367"/>
      <c r="I55" s="367"/>
      <c r="J55" s="308"/>
      <c r="K55" s="308"/>
      <c r="L55" s="308"/>
      <c r="M55" s="308"/>
      <c r="N55" s="308"/>
      <c r="O55" s="308"/>
      <c r="P55" s="308"/>
      <c r="Q55" s="308"/>
      <c r="R55" s="308"/>
      <c r="S55" s="308"/>
      <c r="T55" s="308"/>
      <c r="U55" s="308"/>
      <c r="V55" s="308"/>
      <c r="W55" s="308"/>
    </row>
    <row r="56" spans="1:23">
      <c r="A56" s="367"/>
      <c r="B56" s="367"/>
      <c r="C56" s="367"/>
      <c r="D56" s="367"/>
      <c r="E56" s="367"/>
      <c r="F56" s="367"/>
      <c r="G56" s="367"/>
      <c r="H56" s="367"/>
      <c r="I56" s="367"/>
      <c r="J56" s="308"/>
      <c r="K56" s="308"/>
      <c r="L56" s="308"/>
      <c r="M56" s="308"/>
      <c r="N56" s="308"/>
      <c r="O56" s="308"/>
      <c r="P56" s="308"/>
      <c r="Q56" s="308"/>
      <c r="R56" s="308"/>
      <c r="S56" s="308"/>
      <c r="T56" s="308"/>
      <c r="U56" s="308"/>
      <c r="V56" s="308"/>
      <c r="W56" s="308"/>
    </row>
    <row r="57" spans="1:23" ht="21">
      <c r="A57" s="367"/>
      <c r="B57" s="367"/>
      <c r="C57" s="367"/>
      <c r="D57" s="367"/>
      <c r="E57" s="483"/>
      <c r="F57" s="367"/>
      <c r="G57" s="367"/>
      <c r="H57" s="367"/>
      <c r="I57" s="367"/>
      <c r="J57" s="308"/>
      <c r="K57" s="308"/>
      <c r="L57" s="308"/>
      <c r="M57" s="308"/>
      <c r="N57" s="308"/>
      <c r="O57" s="308"/>
      <c r="P57" s="308"/>
      <c r="Q57" s="308"/>
      <c r="R57" s="308"/>
      <c r="S57" s="308"/>
      <c r="T57" s="308"/>
      <c r="U57" s="308"/>
      <c r="V57" s="308"/>
      <c r="W57" s="308"/>
    </row>
    <row r="58" spans="1:23">
      <c r="A58" s="367"/>
      <c r="B58" s="367"/>
      <c r="C58" s="367"/>
      <c r="D58" s="367"/>
      <c r="E58" s="367"/>
      <c r="F58" s="367"/>
      <c r="G58" s="367"/>
      <c r="H58" s="367"/>
      <c r="I58" s="367"/>
      <c r="J58" s="308"/>
      <c r="K58" s="308"/>
      <c r="L58" s="308"/>
      <c r="M58" s="308"/>
      <c r="N58" s="308"/>
      <c r="O58" s="308"/>
      <c r="P58" s="308"/>
      <c r="Q58" s="308"/>
      <c r="R58" s="308"/>
      <c r="S58" s="308"/>
      <c r="T58" s="308"/>
      <c r="U58" s="308"/>
      <c r="V58" s="308"/>
      <c r="W58" s="308"/>
    </row>
    <row r="59" spans="1:23" ht="46.5">
      <c r="A59" s="367"/>
      <c r="B59" s="367"/>
      <c r="C59" s="367"/>
      <c r="D59" s="484" t="s">
        <v>852</v>
      </c>
      <c r="E59" s="367"/>
      <c r="F59" s="367"/>
      <c r="G59" s="367"/>
      <c r="H59" s="367"/>
      <c r="I59" s="367"/>
      <c r="J59" s="308"/>
      <c r="K59" s="308"/>
      <c r="L59" s="308"/>
      <c r="M59" s="308"/>
      <c r="N59" s="308"/>
      <c r="O59" s="308"/>
      <c r="P59" s="308"/>
      <c r="Q59" s="308"/>
      <c r="R59" s="308"/>
      <c r="S59" s="308"/>
      <c r="T59" s="308"/>
      <c r="U59" s="308"/>
      <c r="V59" s="308"/>
      <c r="W59" s="308"/>
    </row>
    <row r="60" spans="1:23">
      <c r="A60" s="367"/>
      <c r="B60" s="367"/>
      <c r="C60" s="367"/>
      <c r="D60" s="367"/>
      <c r="E60" s="367"/>
      <c r="F60" s="367"/>
      <c r="G60" s="77"/>
      <c r="H60" s="77"/>
      <c r="I60" s="77"/>
    </row>
    <row r="61" spans="1:23">
      <c r="A61" s="367"/>
      <c r="B61" s="367"/>
      <c r="C61" s="367"/>
      <c r="D61" s="367"/>
      <c r="E61" s="367"/>
      <c r="F61" s="367"/>
      <c r="G61" s="77"/>
      <c r="H61" s="77"/>
      <c r="I61" s="77"/>
    </row>
    <row r="62" spans="1:23">
      <c r="A62" s="367"/>
      <c r="B62" s="367"/>
      <c r="C62" s="367"/>
      <c r="D62" s="367"/>
      <c r="E62" s="367"/>
      <c r="F62" s="367"/>
      <c r="G62" s="77"/>
      <c r="H62" s="77"/>
      <c r="I62" s="77"/>
    </row>
    <row r="63" spans="1:23">
      <c r="A63" s="367"/>
      <c r="B63" s="367"/>
      <c r="C63" s="367"/>
      <c r="D63" s="367"/>
      <c r="E63" s="367"/>
      <c r="F63" s="367"/>
      <c r="G63" s="77"/>
      <c r="H63" s="77"/>
      <c r="I63" s="77"/>
    </row>
    <row r="64" spans="1:23">
      <c r="A64" s="367"/>
      <c r="B64" s="367"/>
      <c r="C64" s="367"/>
      <c r="D64" s="367"/>
      <c r="E64" s="367"/>
      <c r="F64" s="367"/>
      <c r="G64" s="77"/>
      <c r="H64" s="77"/>
      <c r="I64" s="77"/>
    </row>
    <row r="65" spans="1:9">
      <c r="A65" s="367"/>
      <c r="B65" s="367"/>
      <c r="C65" s="367"/>
      <c r="D65" s="367"/>
      <c r="E65" s="367"/>
      <c r="F65" s="367"/>
      <c r="G65" s="77"/>
      <c r="H65" s="77"/>
      <c r="I65" s="77"/>
    </row>
    <row r="66" spans="1:9">
      <c r="A66" s="367"/>
      <c r="B66" s="367"/>
      <c r="C66" s="367"/>
      <c r="D66" s="367"/>
      <c r="E66" s="367"/>
      <c r="F66" s="367"/>
      <c r="G66" s="77"/>
      <c r="H66" s="77"/>
      <c r="I66" s="77"/>
    </row>
    <row r="67" spans="1:9">
      <c r="A67" s="367"/>
      <c r="B67" s="367"/>
      <c r="C67" s="367"/>
      <c r="D67" s="367"/>
      <c r="E67" s="367"/>
      <c r="F67" s="367"/>
      <c r="G67" s="77"/>
      <c r="H67" s="77"/>
      <c r="I67" s="77"/>
    </row>
    <row r="68" spans="1:9">
      <c r="A68" s="367"/>
      <c r="B68" s="367"/>
      <c r="C68" s="367"/>
      <c r="D68" s="367"/>
      <c r="E68" s="367"/>
      <c r="F68" s="367"/>
      <c r="G68" s="77"/>
      <c r="H68" s="77"/>
      <c r="I68" s="77"/>
    </row>
    <row r="69" spans="1:9">
      <c r="A69" s="308"/>
      <c r="B69" s="83"/>
      <c r="C69" s="83"/>
      <c r="D69" s="83"/>
      <c r="E69" s="83"/>
      <c r="F69" s="83"/>
    </row>
    <row r="70" spans="1:9">
      <c r="A70" s="308"/>
      <c r="B70" s="83"/>
      <c r="C70" s="83"/>
      <c r="D70" s="83"/>
      <c r="E70" s="83"/>
      <c r="F70" s="83"/>
    </row>
    <row r="71" spans="1:9">
      <c r="A71" s="308"/>
      <c r="B71" s="83"/>
      <c r="C71" s="83"/>
      <c r="D71" s="83"/>
      <c r="E71" s="83"/>
      <c r="F71" s="83"/>
    </row>
    <row r="72" spans="1:9">
      <c r="A72" s="308"/>
      <c r="B72" s="83"/>
      <c r="C72" s="83"/>
      <c r="D72" s="83"/>
      <c r="E72" s="83"/>
      <c r="F72" s="83"/>
    </row>
    <row r="73" spans="1:9">
      <c r="A73" s="308"/>
      <c r="B73" s="83"/>
      <c r="C73" s="83"/>
      <c r="D73" s="83"/>
      <c r="E73" s="83"/>
      <c r="F73" s="83"/>
    </row>
  </sheetData>
  <sheetProtection algorithmName="SHA-512" hashValue="bWGvDtxd8FCcuqDhOcWFzRf7ritZv0LeG521ximhHwNViFdbHQeqB89bVkYG5mwt/d/cUFNahbATmbB/kaFXRQ==" saltValue="t/9gGb4ooAkNbi/k4geooA==" spinCount="100000" sheet="1" objects="1" scenarios="1"/>
  <mergeCells count="7">
    <mergeCell ref="B6:E6"/>
    <mergeCell ref="B16:E16"/>
    <mergeCell ref="B26:E26"/>
    <mergeCell ref="B39:E39"/>
    <mergeCell ref="B2:B5"/>
    <mergeCell ref="C2:C5"/>
    <mergeCell ref="E2:E5"/>
  </mergeCells>
  <hyperlinks>
    <hyperlink ref="E7" location="Input" display="Input" xr:uid="{00000000-0004-0000-0200-000000000000}"/>
    <hyperlink ref="E23" location="Costs" display="Costs" xr:uid="{00000000-0004-0000-0200-000001000000}"/>
    <hyperlink ref="E22" location="Economics" display="Economics" xr:uid="{00000000-0004-0000-0200-000002000000}"/>
    <hyperlink ref="E24" location="Schedule" display="Schedule" xr:uid="{00000000-0004-0000-0200-000003000000}"/>
    <hyperlink ref="E25" location="Override" display="Override" xr:uid="{00000000-0004-0000-0200-000004000000}"/>
    <hyperlink ref="E9" location="Input" display="Input" xr:uid="{00000000-0004-0000-0200-000005000000}"/>
    <hyperlink ref="E11" location="cashflow" display="cashflow" xr:uid="{00000000-0004-0000-0200-000006000000}"/>
    <hyperlink ref="E12" location="thresholds" display="thresholds" xr:uid="{00000000-0004-0000-0200-000007000000}"/>
    <hyperlink ref="E13" location="Sensitivities" display="Sensitivities" xr:uid="{00000000-0004-0000-0200-000008000000}"/>
    <hyperlink ref="E14" location="Government_Take" display="Government_Take" xr:uid="{00000000-0004-0000-0200-000009000000}"/>
    <hyperlink ref="E27" location="Exploration" display="Exploration" xr:uid="{00000000-0004-0000-0200-00000A000000}"/>
    <hyperlink ref="E28" location="Development" display="Development" xr:uid="{00000000-0004-0000-0200-00000B000000}"/>
    <hyperlink ref="E29" location="Production" display="Production" xr:uid="{00000000-0004-0000-0200-00000C000000}"/>
    <hyperlink ref="E30" location="Revenue" display="Revenue" xr:uid="{00000000-0004-0000-0200-00000D000000}"/>
    <hyperlink ref="E31" location="Operations" display="Operations" xr:uid="{00000000-0004-0000-0200-00000E000000}"/>
    <hyperlink ref="E32" location="Abandonment" display="Abandonment" xr:uid="{00000000-0004-0000-0200-00000F000000}"/>
    <hyperlink ref="E33" location="Royalty" display="Royalty" xr:uid="{00000000-0004-0000-0200-000010000000}"/>
    <hyperlink ref="E34" location="Federal_Tax" display="Federal_Tax" xr:uid="{00000000-0004-0000-0200-000011000000}"/>
    <hyperlink ref="E35" location="Provincial_Tax" display="Provincial_Tax" xr:uid="{00000000-0004-0000-0200-000012000000}"/>
    <hyperlink ref="E36" location="Success_Cash" display="Success_Cash" xr:uid="{00000000-0004-0000-0200-000013000000}"/>
    <hyperlink ref="E37" location="Risked_Cash" display="Risked_Cash" xr:uid="{00000000-0004-0000-0200-000014000000}"/>
    <hyperlink ref="E38" location="Selected_Economics" display="Selected_Economics" xr:uid="{00000000-0004-0000-0200-000015000000}"/>
    <hyperlink ref="E40" location="User_Area" display="User_Area" xr:uid="{00000000-0004-0000-0200-000016000000}"/>
    <hyperlink ref="E15" location="Price_Charts" display="Price_Charts" xr:uid="{00000000-0004-0000-0200-000017000000}"/>
    <hyperlink ref="E8" location="Developments" display="Developments" xr:uid="{00000000-0004-0000-0200-000019000000}"/>
    <hyperlink ref="E18" location="Expl_Overrides" display="Expl_Overrides" xr:uid="{1C3BE704-99BE-4EF2-91F4-12CB142B9C77}"/>
    <hyperlink ref="E19" location="Deposit_Recovery" display="Deposit_Recovery" xr:uid="{C7759BC1-9047-44F4-B9DE-EC2B463DEC26}"/>
    <hyperlink ref="E20" location="Devel_Overrides" display="Devel_Overrides" xr:uid="{8E1020A5-2311-4037-B1CC-4AA63A6602B8}"/>
    <hyperlink ref="E21" location="Historic_Costs" display="Historic_Costs" xr:uid="{E627497D-6D74-47C9-AF55-F0408E8FC076}"/>
  </hyperlinks>
  <pageMargins left="0.70866141732283505" right="0.70866141732283505" top="0.74803149606299202" bottom="0.74803149606299202" header="0.31496062992126" footer="0.31496062992126"/>
  <pageSetup paperSize="9" scale="57" orientation="portrait" r:id="rId1"/>
  <headerFooter>
    <oddHeader>&amp;LNova Scotia Department of Energy&amp;CExploration Economics Model&amp;R&amp;D</oddHeader>
    <oddFooter>&amp;LNova Scotia Exploration Economics Model&amp;Rwww.indeva.com</oddFooter>
  </headerFooter>
  <rowBreaks count="1" manualBreakCount="1">
    <brk id="56" max="16383" man="1"/>
  </rowBreaks>
  <colBreaks count="1" manualBreakCount="1">
    <brk id="6" max="1048575" man="1"/>
  </col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7">
    <tabColor theme="3" tint="0.79998168889431442"/>
    <pageSetUpPr fitToPage="1"/>
  </sheetPr>
  <dimension ref="A1:Y49"/>
  <sheetViews>
    <sheetView showGridLines="0" showRowColHeader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sheetView>
  </sheetViews>
  <sheetFormatPr defaultRowHeight="15"/>
  <cols>
    <col min="1" max="1" width="22.42578125" customWidth="1"/>
    <col min="2" max="3" width="14.42578125" bestFit="1" customWidth="1"/>
    <col min="4" max="4" width="16" customWidth="1"/>
    <col min="5" max="5" width="14.42578125" bestFit="1" customWidth="1"/>
    <col min="6" max="6" width="15.42578125" customWidth="1"/>
    <col min="7" max="7" width="14.42578125" bestFit="1" customWidth="1"/>
    <col min="8" max="8" width="15.85546875" customWidth="1"/>
    <col min="9" max="10" width="14.42578125" bestFit="1" customWidth="1"/>
    <col min="11" max="11" width="13.28515625" bestFit="1" customWidth="1"/>
    <col min="12" max="12" width="15.140625" bestFit="1" customWidth="1"/>
    <col min="13" max="13" width="15.5703125" customWidth="1"/>
    <col min="15" max="15" width="13.5703125" customWidth="1"/>
    <col min="16" max="16" width="13.28515625" bestFit="1" customWidth="1"/>
    <col min="17" max="17" width="14.42578125" bestFit="1" customWidth="1"/>
    <col min="18" max="18" width="18.7109375" customWidth="1"/>
    <col min="19" max="19" width="15.140625" bestFit="1" customWidth="1"/>
    <col min="20" max="20" width="11.7109375" customWidth="1"/>
    <col min="21" max="21" width="14.28515625" customWidth="1"/>
    <col min="22" max="22" width="18.28515625" customWidth="1"/>
    <col min="23" max="23" width="9.28515625" bestFit="1" customWidth="1"/>
    <col min="24" max="24" width="13.85546875" bestFit="1" customWidth="1"/>
  </cols>
  <sheetData>
    <row r="1" spans="1:25" ht="18.75">
      <c r="A1" s="92" t="str">
        <f>Input!B10</f>
        <v>Prospect X</v>
      </c>
      <c r="B1" s="92" t="s">
        <v>398</v>
      </c>
      <c r="C1" s="64"/>
      <c r="D1" s="64"/>
      <c r="E1" s="64"/>
      <c r="F1" s="93" t="s">
        <v>756</v>
      </c>
      <c r="G1" s="64"/>
      <c r="H1" s="64"/>
      <c r="I1" s="64"/>
      <c r="J1" s="64"/>
      <c r="K1" s="64"/>
      <c r="L1" s="64"/>
      <c r="M1" s="64"/>
      <c r="N1" s="64"/>
      <c r="O1" s="64"/>
      <c r="P1" s="64"/>
      <c r="Q1" s="64"/>
      <c r="R1" s="64"/>
      <c r="S1" s="64"/>
      <c r="T1" s="64"/>
      <c r="U1" s="64"/>
      <c r="V1" s="64"/>
      <c r="W1" s="64"/>
      <c r="X1" s="64"/>
      <c r="Y1" s="64"/>
    </row>
    <row r="2" spans="1:25" ht="18.75">
      <c r="A2" s="64"/>
      <c r="B2" s="64"/>
      <c r="C2" s="64"/>
      <c r="D2" s="64"/>
      <c r="E2" s="64"/>
      <c r="F2" s="93" t="s">
        <v>139</v>
      </c>
      <c r="G2" s="64"/>
      <c r="H2" s="64"/>
      <c r="I2" s="64"/>
      <c r="J2" s="64"/>
      <c r="K2" s="64"/>
      <c r="L2" s="64"/>
      <c r="M2" s="64"/>
      <c r="N2" s="64"/>
      <c r="O2" s="64"/>
      <c r="P2" s="64"/>
      <c r="Q2" s="64"/>
      <c r="R2" s="64"/>
      <c r="S2" s="64"/>
      <c r="T2" s="64"/>
      <c r="U2" s="64"/>
      <c r="V2" s="64"/>
      <c r="W2" s="64"/>
      <c r="X2" s="64"/>
      <c r="Y2" s="64"/>
    </row>
    <row r="3" spans="1:25">
      <c r="A3" s="64"/>
      <c r="B3" s="64"/>
      <c r="C3" s="64"/>
      <c r="D3" s="178"/>
      <c r="E3" s="64"/>
      <c r="F3" s="64"/>
      <c r="G3" s="64"/>
      <c r="H3" s="64"/>
      <c r="I3" s="64"/>
      <c r="J3" s="64"/>
      <c r="K3" s="64"/>
      <c r="L3" s="64"/>
      <c r="M3" s="178"/>
      <c r="N3" s="64"/>
      <c r="O3" s="64"/>
      <c r="P3" s="64"/>
      <c r="Q3" s="64"/>
      <c r="R3" s="64"/>
      <c r="S3" s="64"/>
      <c r="T3" s="64"/>
      <c r="U3" s="64"/>
      <c r="V3" s="64"/>
      <c r="W3" s="64"/>
      <c r="X3" s="64"/>
      <c r="Y3" s="64"/>
    </row>
    <row r="4" spans="1:25">
      <c r="A4" s="89" t="s">
        <v>14</v>
      </c>
      <c r="B4" s="89" t="s">
        <v>15</v>
      </c>
      <c r="C4" s="89" t="s">
        <v>18</v>
      </c>
      <c r="D4" s="89" t="s">
        <v>41</v>
      </c>
      <c r="E4" s="89" t="s">
        <v>378</v>
      </c>
      <c r="F4" s="89"/>
      <c r="G4" s="89" t="s">
        <v>294</v>
      </c>
      <c r="H4" s="89" t="s">
        <v>379</v>
      </c>
      <c r="I4" s="89" t="s">
        <v>378</v>
      </c>
      <c r="J4" s="89" t="s">
        <v>380</v>
      </c>
      <c r="K4" s="89" t="s">
        <v>381</v>
      </c>
      <c r="L4" s="89" t="s">
        <v>382</v>
      </c>
      <c r="M4" s="89" t="s">
        <v>32</v>
      </c>
      <c r="N4" s="89" t="s">
        <v>41</v>
      </c>
      <c r="O4" s="89"/>
      <c r="P4" s="89" t="s">
        <v>293</v>
      </c>
      <c r="Q4" s="89" t="s">
        <v>207</v>
      </c>
      <c r="R4" s="89" t="s">
        <v>383</v>
      </c>
      <c r="S4" s="89" t="s">
        <v>384</v>
      </c>
      <c r="T4" s="89" t="s">
        <v>385</v>
      </c>
      <c r="U4" s="89" t="s">
        <v>386</v>
      </c>
      <c r="V4" s="89" t="s">
        <v>387</v>
      </c>
      <c r="W4" s="89" t="s">
        <v>388</v>
      </c>
      <c r="X4" s="89" t="s">
        <v>389</v>
      </c>
      <c r="Y4" s="64"/>
    </row>
    <row r="5" spans="1:25">
      <c r="A5" s="97"/>
      <c r="B5" s="97"/>
      <c r="C5" s="97" t="s">
        <v>41</v>
      </c>
      <c r="D5" s="97" t="s">
        <v>390</v>
      </c>
      <c r="E5" s="97" t="s">
        <v>391</v>
      </c>
      <c r="F5" s="97" t="s">
        <v>61</v>
      </c>
      <c r="G5" s="180">
        <f>'Federal Tax'!G5</f>
        <v>0.25</v>
      </c>
      <c r="H5" s="97" t="s">
        <v>392</v>
      </c>
      <c r="I5" s="97" t="s">
        <v>391</v>
      </c>
      <c r="J5" s="97" t="s">
        <v>61</v>
      </c>
      <c r="K5" s="180">
        <f>IF(Abandonment!B7&lt;=15,20%,8%)</f>
        <v>0.08</v>
      </c>
      <c r="L5" s="97" t="s">
        <v>393</v>
      </c>
      <c r="M5" s="97"/>
      <c r="N5" s="97" t="s">
        <v>394</v>
      </c>
      <c r="O5" s="97" t="s">
        <v>61</v>
      </c>
      <c r="P5" s="180">
        <f>'Federal Tax'!P5</f>
        <v>0.3</v>
      </c>
      <c r="Q5" s="97"/>
      <c r="R5" s="97" t="s">
        <v>395</v>
      </c>
      <c r="S5" s="97"/>
      <c r="T5" s="97" t="s">
        <v>396</v>
      </c>
      <c r="U5" s="97" t="s">
        <v>397</v>
      </c>
      <c r="V5" s="97" t="s">
        <v>393</v>
      </c>
      <c r="W5" s="97"/>
      <c r="X5" s="90" t="s">
        <v>54</v>
      </c>
      <c r="Y5" s="64"/>
    </row>
    <row r="6" spans="1:25">
      <c r="A6" s="85" t="s">
        <v>13</v>
      </c>
      <c r="B6" s="191">
        <f>SUM(B8:B47)</f>
        <v>52220.912964706127</v>
      </c>
      <c r="C6" s="191">
        <f>SUM(C8:C47)</f>
        <v>9875.416534209282</v>
      </c>
      <c r="D6" s="191">
        <f>SUM(D8:D47)</f>
        <v>5838.1026989342026</v>
      </c>
      <c r="E6" s="191">
        <f>SUM(E8:E47)</f>
        <v>5838.1026989342026</v>
      </c>
      <c r="F6" s="191"/>
      <c r="G6" s="191">
        <f>SUM(G9:G48)</f>
        <v>5838.1026989342045</v>
      </c>
      <c r="H6" s="191">
        <f t="shared" ref="H6:S6" si="0">SUM(H9:H48)</f>
        <v>0</v>
      </c>
      <c r="I6" s="191">
        <f t="shared" si="0"/>
        <v>0</v>
      </c>
      <c r="J6" s="191"/>
      <c r="K6" s="191">
        <f t="shared" si="0"/>
        <v>0</v>
      </c>
      <c r="L6" s="191">
        <f t="shared" si="0"/>
        <v>36507.393731562646</v>
      </c>
      <c r="M6" s="191">
        <f t="shared" si="0"/>
        <v>10322.711033597319</v>
      </c>
      <c r="N6" s="191">
        <f t="shared" si="0"/>
        <v>2125.00586288246</v>
      </c>
      <c r="O6" s="191"/>
      <c r="P6" s="191">
        <f t="shared" si="0"/>
        <v>2125.0058628824609</v>
      </c>
      <c r="Q6" s="191">
        <f t="shared" si="0"/>
        <v>120.34981402815664</v>
      </c>
      <c r="R6" s="191">
        <f t="shared" si="0"/>
        <v>23939.327021054702</v>
      </c>
      <c r="S6" s="191">
        <f t="shared" si="0"/>
        <v>-191.90091717605242</v>
      </c>
      <c r="T6" s="191"/>
      <c r="U6" s="191"/>
      <c r="V6" s="191">
        <f>SUM(V9:V48)</f>
        <v>24173.113830796105</v>
      </c>
      <c r="W6" s="191"/>
      <c r="X6" s="192"/>
      <c r="Y6" s="64"/>
    </row>
    <row r="7" spans="1:25">
      <c r="A7" s="64"/>
      <c r="B7" s="193"/>
      <c r="C7" s="193"/>
      <c r="D7" s="193"/>
      <c r="E7" s="193"/>
      <c r="F7" s="193"/>
      <c r="G7" s="193"/>
      <c r="H7" s="193"/>
      <c r="I7" s="193"/>
      <c r="J7" s="193"/>
      <c r="K7" s="193"/>
      <c r="L7" s="193"/>
      <c r="M7" s="193"/>
      <c r="N7" s="193"/>
      <c r="O7" s="193"/>
      <c r="P7" s="193"/>
      <c r="Q7" s="193"/>
      <c r="R7" s="193"/>
      <c r="S7" s="193"/>
      <c r="T7" s="193"/>
      <c r="U7" s="193"/>
      <c r="V7" s="193"/>
      <c r="W7" s="193"/>
      <c r="X7" s="193"/>
      <c r="Y7" s="143"/>
    </row>
    <row r="8" spans="1:25">
      <c r="A8" s="64"/>
      <c r="B8" s="193"/>
      <c r="C8" s="193"/>
      <c r="D8" s="193"/>
      <c r="E8" s="193"/>
      <c r="F8" s="193"/>
      <c r="G8" s="193"/>
      <c r="H8" s="193"/>
      <c r="I8" s="193"/>
      <c r="J8" s="193"/>
      <c r="K8" s="193"/>
      <c r="L8" s="193"/>
      <c r="M8" s="193"/>
      <c r="N8" s="193"/>
      <c r="O8" s="193"/>
      <c r="P8" s="193"/>
      <c r="Q8" s="193"/>
      <c r="R8" s="193"/>
      <c r="S8" s="193"/>
      <c r="T8" s="193"/>
      <c r="U8" s="193"/>
      <c r="V8" s="193"/>
      <c r="W8" s="193"/>
      <c r="X8" s="193"/>
      <c r="Y8" s="143"/>
    </row>
    <row r="9" spans="1:25">
      <c r="A9" s="85" t="s">
        <v>63</v>
      </c>
      <c r="B9" s="191"/>
      <c r="C9" s="191"/>
      <c r="D9" s="191">
        <f>Exploration!V29</f>
        <v>0</v>
      </c>
      <c r="E9" s="191"/>
      <c r="F9" s="191"/>
      <c r="G9" s="191"/>
      <c r="H9" s="191">
        <v>0</v>
      </c>
      <c r="I9" s="191"/>
      <c r="J9" s="191">
        <v>0</v>
      </c>
      <c r="K9" s="191"/>
      <c r="L9" s="191"/>
      <c r="M9" s="191"/>
      <c r="N9" s="191"/>
      <c r="O9" s="191">
        <f>IF('Historic Costs'!D12=Lists!A38,'Historic Costs'!E12,Exploration!V28)</f>
        <v>0</v>
      </c>
      <c r="P9" s="191"/>
      <c r="Q9" s="191">
        <f>IF('Historic Costs'!D13=Lists!A38,'Historic Costs'!E13,Exploration!V27)</f>
        <v>0</v>
      </c>
      <c r="R9" s="191">
        <f>-Q9</f>
        <v>0</v>
      </c>
      <c r="S9" s="191"/>
      <c r="T9" s="191"/>
      <c r="U9" s="191">
        <f>MIN(0,R9+U8-S9)</f>
        <v>0</v>
      </c>
      <c r="V9" s="191"/>
      <c r="W9" s="191"/>
      <c r="X9" s="191"/>
      <c r="Y9" s="64"/>
    </row>
    <row r="10" spans="1:25">
      <c r="A10" s="106">
        <f>'Success Cash Flow'!A10</f>
        <v>2023</v>
      </c>
      <c r="B10" s="194">
        <f>Revenue!Q11</f>
        <v>0</v>
      </c>
      <c r="C10" s="194">
        <f>Operations!M19+Abandonment!G16</f>
        <v>0</v>
      </c>
      <c r="D10" s="194">
        <f>Development!BL92</f>
        <v>0</v>
      </c>
      <c r="E10" s="194">
        <f>IF($A10&lt;Production!$B$4,0,IF($A10=Production!$B$4,SUM(D$9:D10),D10))</f>
        <v>0</v>
      </c>
      <c r="F10" s="194">
        <f>0.5*E9+0.5*E10+F9-G9</f>
        <v>0</v>
      </c>
      <c r="G10" s="194">
        <f>F10*IF(A10=Abandonment!$B$4,1,G$5)</f>
        <v>0</v>
      </c>
      <c r="H10" s="194">
        <f>Development!BM92</f>
        <v>0</v>
      </c>
      <c r="I10" s="194">
        <f>IF($A10&lt;Production!$B$4,0,IF($A10=Production!$B$4,SUM(H$9:H10),H10))</f>
        <v>0</v>
      </c>
      <c r="J10" s="194">
        <f t="shared" ref="J10:J49" si="1">0.5*I9+0.5*I10+J9-K9</f>
        <v>0</v>
      </c>
      <c r="K10" s="194">
        <f>J10*IF(Abandonment!$B$4='Federal Tax'!A11,1,K$5)</f>
        <v>0</v>
      </c>
      <c r="L10" s="194">
        <f t="shared" ref="L10:L49" si="2">B10-C10-G10-K10</f>
        <v>0</v>
      </c>
      <c r="M10" s="194">
        <f>Royalty!AM12</f>
        <v>0</v>
      </c>
      <c r="N10" s="194">
        <f>Development!BK92</f>
        <v>0</v>
      </c>
      <c r="O10" s="194">
        <f>O9+N10-P9</f>
        <v>0</v>
      </c>
      <c r="P10" s="194">
        <f>O10*IF(A10=Abandonment!$B$4,1,P$5)</f>
        <v>0</v>
      </c>
      <c r="Q10" s="194">
        <f>Exploration!Z37</f>
        <v>9.6278000000000006</v>
      </c>
      <c r="R10" s="194">
        <f t="shared" ref="R10:R49" si="3">L10-M10-P10-Q10</f>
        <v>-9.6278000000000006</v>
      </c>
      <c r="S10" s="194">
        <f t="shared" ref="S10:S49" si="4">-MIN(-MIN(R10,0),MAX(0,SUM(V7:V9)-SUM(S7:S9)+T9))</f>
        <v>0</v>
      </c>
      <c r="T10" s="194">
        <f>MIN(0,MAX(0,R7)+S10+T9)</f>
        <v>0</v>
      </c>
      <c r="U10" s="194">
        <f t="shared" ref="U10:U49" si="5">MIN(0,R10+U9-S10)</f>
        <v>-9.6278000000000006</v>
      </c>
      <c r="V10" s="194">
        <f>IF(Input!$B$38="Yes",R10,MAX(0,R10+U9)+S10)</f>
        <v>0</v>
      </c>
      <c r="W10" s="195">
        <v>0.14000000000000001</v>
      </c>
      <c r="X10" s="194">
        <f>W10*V10</f>
        <v>0</v>
      </c>
      <c r="Y10" s="64"/>
    </row>
    <row r="11" spans="1:25">
      <c r="A11" s="108">
        <f>A10+1</f>
        <v>2024</v>
      </c>
      <c r="B11" s="196">
        <f>Revenue!Q12</f>
        <v>0</v>
      </c>
      <c r="C11" s="196">
        <f>Operations!M20+Abandonment!G17</f>
        <v>0</v>
      </c>
      <c r="D11" s="196">
        <f>Development!BL93</f>
        <v>0</v>
      </c>
      <c r="E11" s="196">
        <f>IF($A11&lt;Production!$B$4,0,IF($A11=Production!$B$4,SUM(D$9:D11),D11))</f>
        <v>0</v>
      </c>
      <c r="F11" s="196">
        <f t="shared" ref="F11:F49" si="6">0.5*E10+0.5*E11+F10-G10</f>
        <v>0</v>
      </c>
      <c r="G11" s="196">
        <f>F11*IF(A11=Abandonment!$B$4,1,G$5)</f>
        <v>0</v>
      </c>
      <c r="H11" s="196">
        <f>Development!BM93</f>
        <v>0</v>
      </c>
      <c r="I11" s="196">
        <f>IF($A11&lt;Production!$B$4,0,IF($A11=Production!$B$4,SUM(H$9:H11),H11))</f>
        <v>0</v>
      </c>
      <c r="J11" s="196">
        <f t="shared" si="1"/>
        <v>0</v>
      </c>
      <c r="K11" s="196">
        <f>J11*IF(Abandonment!$B$4='Federal Tax'!A12,1,K$5)</f>
        <v>0</v>
      </c>
      <c r="L11" s="196">
        <f t="shared" si="2"/>
        <v>0</v>
      </c>
      <c r="M11" s="196">
        <f>Royalty!AM13</f>
        <v>0</v>
      </c>
      <c r="N11" s="196">
        <f>Development!BK93</f>
        <v>0</v>
      </c>
      <c r="O11" s="196">
        <f t="shared" ref="O11:O49" si="7">O10+N11-P10</f>
        <v>0</v>
      </c>
      <c r="P11" s="196">
        <f>O11*IF(A11=Abandonment!$B$4,1,P$5)</f>
        <v>0</v>
      </c>
      <c r="Q11" s="196">
        <f>Exploration!Z38</f>
        <v>74.852665618512248</v>
      </c>
      <c r="R11" s="196">
        <f t="shared" si="3"/>
        <v>-74.852665618512248</v>
      </c>
      <c r="S11" s="196">
        <f t="shared" si="4"/>
        <v>0</v>
      </c>
      <c r="T11" s="196">
        <f>MIN(0,MAX(0,R8)+S11+T10)</f>
        <v>0</v>
      </c>
      <c r="U11" s="196">
        <f t="shared" si="5"/>
        <v>-84.480465618512255</v>
      </c>
      <c r="V11" s="196">
        <f>IF(Input!$B$38="Yes",R11,MAX(0,R11+U10)+S11)</f>
        <v>0</v>
      </c>
      <c r="W11" s="197">
        <v>0.14000000000000001</v>
      </c>
      <c r="X11" s="196">
        <f t="shared" ref="X11:X49" si="8">W11*V11</f>
        <v>0</v>
      </c>
      <c r="Y11" s="64"/>
    </row>
    <row r="12" spans="1:25">
      <c r="A12" s="108">
        <f t="shared" ref="A12:A49" si="9">A11+1</f>
        <v>2025</v>
      </c>
      <c r="B12" s="196">
        <f>Revenue!Q13</f>
        <v>0</v>
      </c>
      <c r="C12" s="196">
        <f>Operations!M21+Abandonment!G18</f>
        <v>0</v>
      </c>
      <c r="D12" s="196">
        <f>Development!BL94</f>
        <v>0</v>
      </c>
      <c r="E12" s="196">
        <f>IF($A12&lt;Production!$B$4,0,IF($A12=Production!$B$4,SUM(D$9:D12),D12))</f>
        <v>0</v>
      </c>
      <c r="F12" s="196">
        <f t="shared" si="6"/>
        <v>0</v>
      </c>
      <c r="G12" s="196">
        <f>F12*IF(A12=Abandonment!$B$4,1,G$5)</f>
        <v>0</v>
      </c>
      <c r="H12" s="196">
        <f>Development!BM94</f>
        <v>0</v>
      </c>
      <c r="I12" s="196">
        <f>IF($A12&lt;Production!$B$4,0,IF($A12=Production!$B$4,SUM(H$9:H12),H12))</f>
        <v>0</v>
      </c>
      <c r="J12" s="196">
        <f t="shared" si="1"/>
        <v>0</v>
      </c>
      <c r="K12" s="196">
        <f>J12*IF(Abandonment!$B$4='Federal Tax'!A13,1,K$5)</f>
        <v>0</v>
      </c>
      <c r="L12" s="196">
        <f t="shared" si="2"/>
        <v>0</v>
      </c>
      <c r="M12" s="196">
        <f>Royalty!AM14</f>
        <v>0</v>
      </c>
      <c r="N12" s="196">
        <f>Development!BK94</f>
        <v>107.47665567431575</v>
      </c>
      <c r="O12" s="196">
        <f t="shared" si="7"/>
        <v>107.47665567431575</v>
      </c>
      <c r="P12" s="196">
        <f>O12*IF(A12=Abandonment!$B$4,1,P$5)</f>
        <v>32.242996702294725</v>
      </c>
      <c r="Q12" s="196">
        <f>Exploration!Z39</f>
        <v>35.869348409644388</v>
      </c>
      <c r="R12" s="196">
        <f t="shared" si="3"/>
        <v>-68.112345111939106</v>
      </c>
      <c r="S12" s="196">
        <f t="shared" si="4"/>
        <v>0</v>
      </c>
      <c r="T12" s="196">
        <f>MIN(0,MAX(0,R9)+S12+T11)</f>
        <v>0</v>
      </c>
      <c r="U12" s="196">
        <f t="shared" si="5"/>
        <v>-152.59281073045136</v>
      </c>
      <c r="V12" s="196">
        <f>IF(Input!$B$38="Yes",R12,MAX(0,R12+U11)+S12)</f>
        <v>0</v>
      </c>
      <c r="W12" s="197">
        <v>0.14000000000000001</v>
      </c>
      <c r="X12" s="196">
        <f t="shared" si="8"/>
        <v>0</v>
      </c>
      <c r="Y12" s="64"/>
    </row>
    <row r="13" spans="1:25">
      <c r="A13" s="108">
        <f t="shared" si="9"/>
        <v>2026</v>
      </c>
      <c r="B13" s="196">
        <f>Revenue!Q14</f>
        <v>0</v>
      </c>
      <c r="C13" s="196">
        <f>Operations!M22+Abandonment!G19</f>
        <v>0</v>
      </c>
      <c r="D13" s="196">
        <f>Development!BL95</f>
        <v>0</v>
      </c>
      <c r="E13" s="196">
        <f>IF($A13&lt;Production!$B$4,0,IF($A13=Production!$B$4,SUM(D$9:D13),D13))</f>
        <v>0</v>
      </c>
      <c r="F13" s="196">
        <f t="shared" si="6"/>
        <v>0</v>
      </c>
      <c r="G13" s="196">
        <f>F13*IF(A13=Abandonment!$B$4,1,G$5)</f>
        <v>0</v>
      </c>
      <c r="H13" s="196">
        <f>Development!BM95</f>
        <v>0</v>
      </c>
      <c r="I13" s="196">
        <f>IF($A13&lt;Production!$B$4,0,IF($A13=Production!$B$4,SUM(H$9:H13),H13))</f>
        <v>0</v>
      </c>
      <c r="J13" s="196">
        <f t="shared" si="1"/>
        <v>0</v>
      </c>
      <c r="K13" s="196">
        <f>J13*IF(Abandonment!$B$4='Federal Tax'!A14,1,K$5)</f>
        <v>0</v>
      </c>
      <c r="L13" s="196">
        <f t="shared" si="2"/>
        <v>0</v>
      </c>
      <c r="M13" s="196">
        <f>Royalty!AM15</f>
        <v>0</v>
      </c>
      <c r="N13" s="196">
        <f>Development!BK95</f>
        <v>221.40191068909044</v>
      </c>
      <c r="O13" s="196">
        <f t="shared" si="7"/>
        <v>296.6355696611115</v>
      </c>
      <c r="P13" s="196">
        <f>O13*IF(A13=Abandonment!$B$4,1,P$5)</f>
        <v>88.990670898333448</v>
      </c>
      <c r="Q13" s="196">
        <f>Exploration!Z40</f>
        <v>0</v>
      </c>
      <c r="R13" s="196">
        <f t="shared" si="3"/>
        <v>-88.990670898333448</v>
      </c>
      <c r="S13" s="196">
        <f t="shared" si="4"/>
        <v>0</v>
      </c>
      <c r="T13" s="196">
        <f>MIN(0,MAX(0,R10)+S13+T12)</f>
        <v>0</v>
      </c>
      <c r="U13" s="196">
        <f t="shared" si="5"/>
        <v>-241.5834816287848</v>
      </c>
      <c r="V13" s="196">
        <f>IF(Input!$B$38="Yes",R13,MAX(0,R13+U12)+S13)</f>
        <v>0</v>
      </c>
      <c r="W13" s="197">
        <v>0.14000000000000001</v>
      </c>
      <c r="X13" s="196">
        <f t="shared" si="8"/>
        <v>0</v>
      </c>
      <c r="Y13" s="64"/>
    </row>
    <row r="14" spans="1:25">
      <c r="A14" s="108">
        <f t="shared" si="9"/>
        <v>2027</v>
      </c>
      <c r="B14" s="196">
        <f>Revenue!Q15</f>
        <v>0</v>
      </c>
      <c r="C14" s="196">
        <f>Operations!M23+Abandonment!G20</f>
        <v>0</v>
      </c>
      <c r="D14" s="196">
        <f>Development!BL96</f>
        <v>14.316016678088269</v>
      </c>
      <c r="E14" s="196">
        <f>IF($A14&lt;Production!$B$4,0,IF($A14=Production!$B$4,SUM(D$9:D14),D14))</f>
        <v>0</v>
      </c>
      <c r="F14" s="196">
        <f t="shared" si="6"/>
        <v>0</v>
      </c>
      <c r="G14" s="196">
        <f>F14*IF(A14=Abandonment!$B$4,1,G$5)</f>
        <v>0</v>
      </c>
      <c r="H14" s="196">
        <f>Development!BM96</f>
        <v>0</v>
      </c>
      <c r="I14" s="196">
        <f>IF($A14&lt;Production!$B$4,0,IF($A14=Production!$B$4,SUM(H$9:H14),H14))</f>
        <v>0</v>
      </c>
      <c r="J14" s="196">
        <f t="shared" si="1"/>
        <v>0</v>
      </c>
      <c r="K14" s="196">
        <f>J14*IF(Abandonment!$B$4='Federal Tax'!A15,1,K$5)</f>
        <v>0</v>
      </c>
      <c r="L14" s="196">
        <f t="shared" si="2"/>
        <v>0</v>
      </c>
      <c r="M14" s="196">
        <f>Royalty!AM16</f>
        <v>0</v>
      </c>
      <c r="N14" s="196">
        <f>Development!BK96</f>
        <v>0</v>
      </c>
      <c r="O14" s="196">
        <f t="shared" si="7"/>
        <v>207.64489876277804</v>
      </c>
      <c r="P14" s="196">
        <f>O14*IF(A14=Abandonment!$B$4,1,P$5)</f>
        <v>62.293469628833407</v>
      </c>
      <c r="Q14" s="196">
        <f>Exploration!Z41</f>
        <v>0</v>
      </c>
      <c r="R14" s="196">
        <f t="shared" si="3"/>
        <v>-62.293469628833407</v>
      </c>
      <c r="S14" s="196">
        <f t="shared" si="4"/>
        <v>0</v>
      </c>
      <c r="T14" s="196">
        <f t="shared" ref="T14:T49" si="10">MIN(0,MAX(0,R11)+S14+T13)</f>
        <v>0</v>
      </c>
      <c r="U14" s="196">
        <f t="shared" si="5"/>
        <v>-303.8769512576182</v>
      </c>
      <c r="V14" s="196">
        <f>IF(Input!$B$38="Yes",R14,MAX(0,R14+U13)+S14)</f>
        <v>0</v>
      </c>
      <c r="W14" s="197">
        <v>0.14000000000000001</v>
      </c>
      <c r="X14" s="196">
        <f t="shared" si="8"/>
        <v>0</v>
      </c>
      <c r="Y14" s="64"/>
    </row>
    <row r="15" spans="1:25">
      <c r="A15" s="108">
        <f t="shared" si="9"/>
        <v>2028</v>
      </c>
      <c r="B15" s="196">
        <f>Revenue!Q16</f>
        <v>0</v>
      </c>
      <c r="C15" s="196">
        <f>Operations!M24+Abandonment!G21</f>
        <v>0</v>
      </c>
      <c r="D15" s="196">
        <f>Development!BL97</f>
        <v>2.4305764579831179</v>
      </c>
      <c r="E15" s="196">
        <f>IF($A15&lt;Production!$B$4,0,IF($A15=Production!$B$4,SUM(D$9:D15),D15))</f>
        <v>0</v>
      </c>
      <c r="F15" s="196">
        <f t="shared" si="6"/>
        <v>0</v>
      </c>
      <c r="G15" s="196">
        <f>F15*IF(A15=Abandonment!$B$4,1,G$5)</f>
        <v>0</v>
      </c>
      <c r="H15" s="196">
        <f>Development!BM97</f>
        <v>0</v>
      </c>
      <c r="I15" s="196">
        <f>IF($A15&lt;Production!$B$4,0,IF($A15=Production!$B$4,SUM(H$9:H15),H15))</f>
        <v>0</v>
      </c>
      <c r="J15" s="196">
        <f t="shared" si="1"/>
        <v>0</v>
      </c>
      <c r="K15" s="196">
        <f>J15*IF(Abandonment!$B$4='Federal Tax'!A16,1,K$5)</f>
        <v>0</v>
      </c>
      <c r="L15" s="196">
        <f t="shared" si="2"/>
        <v>0</v>
      </c>
      <c r="M15" s="196">
        <f>Royalty!AM17</f>
        <v>0</v>
      </c>
      <c r="N15" s="196">
        <f>Development!BK97</f>
        <v>0</v>
      </c>
      <c r="O15" s="196">
        <f t="shared" si="7"/>
        <v>145.35142913394463</v>
      </c>
      <c r="P15" s="196">
        <f>O15*IF(A15=Abandonment!$B$4,1,P$5)</f>
        <v>43.605428740183392</v>
      </c>
      <c r="Q15" s="196">
        <f>Exploration!Z42</f>
        <v>0</v>
      </c>
      <c r="R15" s="196">
        <f t="shared" si="3"/>
        <v>-43.605428740183392</v>
      </c>
      <c r="S15" s="196">
        <f t="shared" si="4"/>
        <v>0</v>
      </c>
      <c r="T15" s="196">
        <f t="shared" si="10"/>
        <v>0</v>
      </c>
      <c r="U15" s="196">
        <f t="shared" si="5"/>
        <v>-347.48237999780162</v>
      </c>
      <c r="V15" s="196">
        <f>IF(Input!$B$38="Yes",R15,MAX(0,R15+U14)+S15)</f>
        <v>0</v>
      </c>
      <c r="W15" s="197">
        <v>0.14000000000000001</v>
      </c>
      <c r="X15" s="196">
        <f t="shared" si="8"/>
        <v>0</v>
      </c>
      <c r="Y15" s="64"/>
    </row>
    <row r="16" spans="1:25">
      <c r="A16" s="108">
        <f t="shared" si="9"/>
        <v>2029</v>
      </c>
      <c r="B16" s="196">
        <f>Revenue!Q17</f>
        <v>0</v>
      </c>
      <c r="C16" s="196">
        <f>Operations!M25+Abandonment!G22</f>
        <v>0</v>
      </c>
      <c r="D16" s="196">
        <f>Development!BL98</f>
        <v>472.39278561449584</v>
      </c>
      <c r="E16" s="196">
        <f>IF($A16&lt;Production!$B$4,0,IF($A16=Production!$B$4,SUM(D$9:D16),D16))</f>
        <v>0</v>
      </c>
      <c r="F16" s="196">
        <f t="shared" si="6"/>
        <v>0</v>
      </c>
      <c r="G16" s="196">
        <f>F16*IF(A16=Abandonment!$B$4,1,G$5)</f>
        <v>0</v>
      </c>
      <c r="H16" s="196">
        <f>Development!BM98</f>
        <v>0</v>
      </c>
      <c r="I16" s="196">
        <f>IF($A16&lt;Production!$B$4,0,IF($A16=Production!$B$4,SUM(H$9:H16),H16))</f>
        <v>0</v>
      </c>
      <c r="J16" s="196">
        <f t="shared" si="1"/>
        <v>0</v>
      </c>
      <c r="K16" s="196">
        <f>J16*IF(Abandonment!$B$4='Federal Tax'!A17,1,K$5)</f>
        <v>0</v>
      </c>
      <c r="L16" s="196">
        <f t="shared" si="2"/>
        <v>0</v>
      </c>
      <c r="M16" s="196">
        <f>Royalty!AM18</f>
        <v>0</v>
      </c>
      <c r="N16" s="196">
        <f>Development!BK98</f>
        <v>0</v>
      </c>
      <c r="O16" s="196">
        <f t="shared" si="7"/>
        <v>101.74600039376125</v>
      </c>
      <c r="P16" s="196">
        <f>O16*IF(A16=Abandonment!$B$4,1,P$5)</f>
        <v>30.523800118128374</v>
      </c>
      <c r="Q16" s="196">
        <f>Exploration!Z43</f>
        <v>0</v>
      </c>
      <c r="R16" s="196">
        <f t="shared" si="3"/>
        <v>-30.523800118128374</v>
      </c>
      <c r="S16" s="196">
        <f t="shared" si="4"/>
        <v>0</v>
      </c>
      <c r="T16" s="196">
        <f t="shared" si="10"/>
        <v>0</v>
      </c>
      <c r="U16" s="196">
        <f t="shared" si="5"/>
        <v>-378.00618011592996</v>
      </c>
      <c r="V16" s="196">
        <f>IF(Input!$B$38="Yes",R16,MAX(0,R16+U15)+S16)</f>
        <v>0</v>
      </c>
      <c r="W16" s="197">
        <v>0.14000000000000001</v>
      </c>
      <c r="X16" s="196">
        <f t="shared" si="8"/>
        <v>0</v>
      </c>
      <c r="Y16" s="64"/>
    </row>
    <row r="17" spans="1:25">
      <c r="A17" s="108">
        <f t="shared" si="9"/>
        <v>2030</v>
      </c>
      <c r="B17" s="196">
        <f>Revenue!Q18</f>
        <v>0</v>
      </c>
      <c r="C17" s="196">
        <f>Operations!M26+Abandonment!G23</f>
        <v>0</v>
      </c>
      <c r="D17" s="196">
        <f>Development!BL99</f>
        <v>4164.5586326586235</v>
      </c>
      <c r="E17" s="196">
        <f>IF($A17&lt;Production!$B$4,0,IF($A17=Production!$B$4,SUM(D$9:D17),D17))</f>
        <v>0</v>
      </c>
      <c r="F17" s="196">
        <f t="shared" si="6"/>
        <v>0</v>
      </c>
      <c r="G17" s="196">
        <f>F17*IF(A17=Abandonment!$B$4,1,G$5)</f>
        <v>0</v>
      </c>
      <c r="H17" s="196">
        <f>Development!BM99</f>
        <v>0</v>
      </c>
      <c r="I17" s="196">
        <f>IF($A17&lt;Production!$B$4,0,IF($A17=Production!$B$4,SUM(H$9:H17),H17))</f>
        <v>0</v>
      </c>
      <c r="J17" s="196">
        <f t="shared" si="1"/>
        <v>0</v>
      </c>
      <c r="K17" s="196">
        <f>J17*IF(Abandonment!$B$4='Federal Tax'!A18,1,K$5)</f>
        <v>0</v>
      </c>
      <c r="L17" s="196">
        <f t="shared" si="2"/>
        <v>0</v>
      </c>
      <c r="M17" s="196">
        <f>Royalty!AM19</f>
        <v>0</v>
      </c>
      <c r="N17" s="196">
        <f>Development!BK99</f>
        <v>119.87471631941384</v>
      </c>
      <c r="O17" s="196">
        <f t="shared" si="7"/>
        <v>191.09691659504671</v>
      </c>
      <c r="P17" s="196">
        <f>O17*IF(A17=Abandonment!$B$4,1,P$5)</f>
        <v>57.329074978514008</v>
      </c>
      <c r="Q17" s="196">
        <f>Exploration!Z44</f>
        <v>0</v>
      </c>
      <c r="R17" s="196">
        <f t="shared" si="3"/>
        <v>-57.329074978514008</v>
      </c>
      <c r="S17" s="196">
        <f t="shared" si="4"/>
        <v>0</v>
      </c>
      <c r="T17" s="196">
        <f t="shared" si="10"/>
        <v>0</v>
      </c>
      <c r="U17" s="196">
        <f t="shared" si="5"/>
        <v>-435.33525509444399</v>
      </c>
      <c r="V17" s="196">
        <f>IF(Input!$B$38="Yes",R17,MAX(0,R17+U16)+S17)</f>
        <v>0</v>
      </c>
      <c r="W17" s="197">
        <v>0.14000000000000001</v>
      </c>
      <c r="X17" s="196">
        <f t="shared" si="8"/>
        <v>0</v>
      </c>
      <c r="Y17" s="64"/>
    </row>
    <row r="18" spans="1:25">
      <c r="A18" s="108">
        <f t="shared" si="9"/>
        <v>2031</v>
      </c>
      <c r="B18" s="196">
        <f>Revenue!Q19</f>
        <v>2528.932343067177</v>
      </c>
      <c r="C18" s="196">
        <f>Operations!M27+Abandonment!G24</f>
        <v>345.38599538637789</v>
      </c>
      <c r="D18" s="196">
        <f>Development!BL100</f>
        <v>1184.4046875250119</v>
      </c>
      <c r="E18" s="196">
        <f>IF($A18&lt;Production!$B$4,0,IF($A18=Production!$B$4,SUM(D$9:D18),D18))</f>
        <v>5838.1026989342026</v>
      </c>
      <c r="F18" s="196">
        <f t="shared" si="6"/>
        <v>2919.0513494671013</v>
      </c>
      <c r="G18" s="196">
        <f>F18*IF(A18=Abandonment!$B$4,1,G$5)</f>
        <v>729.76283736677533</v>
      </c>
      <c r="H18" s="196">
        <f>Development!BM100</f>
        <v>0</v>
      </c>
      <c r="I18" s="196">
        <f>IF($A18&lt;Production!$B$4,0,IF($A18=Production!$B$4,SUM(H$9:H18),H18))</f>
        <v>0</v>
      </c>
      <c r="J18" s="196">
        <f t="shared" si="1"/>
        <v>0</v>
      </c>
      <c r="K18" s="196">
        <f>J18*IF(Abandonment!$B$4='Federal Tax'!A19,1,K$5)</f>
        <v>0</v>
      </c>
      <c r="L18" s="196">
        <f t="shared" si="2"/>
        <v>1453.7835103140237</v>
      </c>
      <c r="M18" s="196">
        <f>Royalty!AM20</f>
        <v>50.578646861343543</v>
      </c>
      <c r="N18" s="196">
        <f>Development!BK100</f>
        <v>1676.2525801996401</v>
      </c>
      <c r="O18" s="196">
        <f t="shared" si="7"/>
        <v>1810.0204218161728</v>
      </c>
      <c r="P18" s="196">
        <f>O18*IF(A18=Abandonment!$B$4,1,P$5)</f>
        <v>543.00612654485178</v>
      </c>
      <c r="Q18" s="196">
        <f>Exploration!Z45</f>
        <v>0</v>
      </c>
      <c r="R18" s="196">
        <f t="shared" si="3"/>
        <v>860.19873690782845</v>
      </c>
      <c r="S18" s="196">
        <f t="shared" si="4"/>
        <v>0</v>
      </c>
      <c r="T18" s="196">
        <f t="shared" si="10"/>
        <v>0</v>
      </c>
      <c r="U18" s="196">
        <f t="shared" si="5"/>
        <v>0</v>
      </c>
      <c r="V18" s="196">
        <f>IF(Input!$B$38="Yes",R18,MAX(0,R18+U17)+S18)</f>
        <v>424.86348181338445</v>
      </c>
      <c r="W18" s="197">
        <v>0.14000000000000001</v>
      </c>
      <c r="X18" s="196">
        <f t="shared" si="8"/>
        <v>59.480887453873827</v>
      </c>
      <c r="Y18" s="64"/>
    </row>
    <row r="19" spans="1:25">
      <c r="A19" s="108">
        <f t="shared" si="9"/>
        <v>2032</v>
      </c>
      <c r="B19" s="196">
        <f>Revenue!Q20</f>
        <v>4474.6536159489724</v>
      </c>
      <c r="C19" s="196">
        <f>Operations!M28+Abandonment!G25</f>
        <v>485.12933283851851</v>
      </c>
      <c r="D19" s="196">
        <f>Development!BL101</f>
        <v>0</v>
      </c>
      <c r="E19" s="196">
        <f>IF($A19&lt;Production!$B$4,0,IF($A19=Production!$B$4,SUM(D$9:D19),D19))</f>
        <v>0</v>
      </c>
      <c r="F19" s="196">
        <f t="shared" si="6"/>
        <v>5108.3398615674269</v>
      </c>
      <c r="G19" s="196">
        <f>F19*IF(A19=Abandonment!$B$4,1,G$5)</f>
        <v>1277.0849653918567</v>
      </c>
      <c r="H19" s="196">
        <f>Development!BM101</f>
        <v>0</v>
      </c>
      <c r="I19" s="196">
        <f>IF($A19&lt;Production!$B$4,0,IF($A19=Production!$B$4,SUM(H$9:H19),H19))</f>
        <v>0</v>
      </c>
      <c r="J19" s="196">
        <f t="shared" si="1"/>
        <v>0</v>
      </c>
      <c r="K19" s="196">
        <f>J19*IF(Abandonment!$B$4='Federal Tax'!A20,1,K$5)</f>
        <v>0</v>
      </c>
      <c r="L19" s="196">
        <f t="shared" si="2"/>
        <v>2712.4393177185971</v>
      </c>
      <c r="M19" s="196">
        <f>Royalty!AM21</f>
        <v>89.493072318979443</v>
      </c>
      <c r="N19" s="196">
        <f>Development!BK101</f>
        <v>0</v>
      </c>
      <c r="O19" s="196">
        <f t="shared" si="7"/>
        <v>1267.0142952713209</v>
      </c>
      <c r="P19" s="196">
        <f>O19*IF(A19=Abandonment!$B$4,1,P$5)</f>
        <v>380.10428858139625</v>
      </c>
      <c r="Q19" s="196">
        <f>Exploration!Z46</f>
        <v>0</v>
      </c>
      <c r="R19" s="196">
        <f t="shared" si="3"/>
        <v>2242.8419568182212</v>
      </c>
      <c r="S19" s="196">
        <f t="shared" si="4"/>
        <v>0</v>
      </c>
      <c r="T19" s="196">
        <f t="shared" si="10"/>
        <v>0</v>
      </c>
      <c r="U19" s="196">
        <f t="shared" si="5"/>
        <v>0</v>
      </c>
      <c r="V19" s="196">
        <f>IF(Input!$B$38="Yes",R19,MAX(0,R19+U18)+S19)</f>
        <v>2242.8419568182212</v>
      </c>
      <c r="W19" s="197">
        <v>0.14000000000000001</v>
      </c>
      <c r="X19" s="196">
        <f t="shared" si="8"/>
        <v>313.99787395455098</v>
      </c>
      <c r="Y19" s="64"/>
    </row>
    <row r="20" spans="1:25">
      <c r="A20" s="108">
        <f t="shared" si="9"/>
        <v>2033</v>
      </c>
      <c r="B20" s="196">
        <f>Revenue!Q21</f>
        <v>4596.3006199891151</v>
      </c>
      <c r="C20" s="196">
        <f>Operations!M29+Abandonment!G26</f>
        <v>499.31719009157177</v>
      </c>
      <c r="D20" s="196">
        <f>Development!BL102</f>
        <v>0</v>
      </c>
      <c r="E20" s="196">
        <f>IF($A20&lt;Production!$B$4,0,IF($A20=Production!$B$4,SUM(D$9:D20),D20))</f>
        <v>0</v>
      </c>
      <c r="F20" s="196">
        <f t="shared" si="6"/>
        <v>3831.2548961755701</v>
      </c>
      <c r="G20" s="196">
        <f>F20*IF(A20=Abandonment!$B$4,1,G$5)</f>
        <v>957.81372404389253</v>
      </c>
      <c r="H20" s="196">
        <f>Development!BM102</f>
        <v>0</v>
      </c>
      <c r="I20" s="196">
        <f>IF($A20&lt;Production!$B$4,0,IF($A20=Production!$B$4,SUM(H$9:H20),H20))</f>
        <v>0</v>
      </c>
      <c r="J20" s="196">
        <f t="shared" si="1"/>
        <v>0</v>
      </c>
      <c r="K20" s="196">
        <f>J20*IF(Abandonment!$B$4='Federal Tax'!A21,1,K$5)</f>
        <v>0</v>
      </c>
      <c r="L20" s="196">
        <f t="shared" si="2"/>
        <v>3139.1697058536511</v>
      </c>
      <c r="M20" s="196">
        <f>Royalty!AM22</f>
        <v>120.65289127471428</v>
      </c>
      <c r="N20" s="196">
        <f>Development!BK102</f>
        <v>0</v>
      </c>
      <c r="O20" s="196">
        <f t="shared" si="7"/>
        <v>886.91000668992456</v>
      </c>
      <c r="P20" s="196">
        <f>O20*IF(A20=Abandonment!$B$4,1,P$5)</f>
        <v>266.07300200697733</v>
      </c>
      <c r="Q20" s="196">
        <f>Exploration!Z47</f>
        <v>0</v>
      </c>
      <c r="R20" s="196">
        <f t="shared" si="3"/>
        <v>2752.4438125719594</v>
      </c>
      <c r="S20" s="196">
        <f t="shared" si="4"/>
        <v>0</v>
      </c>
      <c r="T20" s="196">
        <f t="shared" si="10"/>
        <v>0</v>
      </c>
      <c r="U20" s="196">
        <f t="shared" si="5"/>
        <v>0</v>
      </c>
      <c r="V20" s="196">
        <f>IF(Input!$B$38="Yes",R20,MAX(0,R20+U19)+S20)</f>
        <v>2752.4438125719594</v>
      </c>
      <c r="W20" s="197">
        <v>0.14000000000000001</v>
      </c>
      <c r="X20" s="196">
        <f t="shared" si="8"/>
        <v>385.34213376007438</v>
      </c>
      <c r="Y20" s="64"/>
    </row>
    <row r="21" spans="1:25">
      <c r="A21" s="108">
        <f t="shared" si="9"/>
        <v>2034</v>
      </c>
      <c r="B21" s="196">
        <f>Revenue!Q22</f>
        <v>4734.1896385887894</v>
      </c>
      <c r="C21" s="196">
        <f>Operations!M30+Abandonment!G27</f>
        <v>514.29670579431888</v>
      </c>
      <c r="D21" s="196">
        <f>Development!BL103</f>
        <v>0</v>
      </c>
      <c r="E21" s="196">
        <f>IF($A21&lt;Production!$B$4,0,IF($A21=Production!$B$4,SUM(D$9:D21),D21))</f>
        <v>0</v>
      </c>
      <c r="F21" s="196">
        <f t="shared" si="6"/>
        <v>2873.4411721316774</v>
      </c>
      <c r="G21" s="196">
        <f>F21*IF(A21=Abandonment!$B$4,1,G$5)</f>
        <v>718.36029303291934</v>
      </c>
      <c r="H21" s="196">
        <f>Development!BM103</f>
        <v>0</v>
      </c>
      <c r="I21" s="196">
        <f>IF($A21&lt;Production!$B$4,0,IF($A21=Production!$B$4,SUM(H$9:H21),H21))</f>
        <v>0</v>
      </c>
      <c r="J21" s="196">
        <f t="shared" si="1"/>
        <v>0</v>
      </c>
      <c r="K21" s="196">
        <f>J21*IF(Abandonment!$B$4='Federal Tax'!A22,1,K$5)</f>
        <v>0</v>
      </c>
      <c r="L21" s="196">
        <f t="shared" si="2"/>
        <v>3501.5326397615513</v>
      </c>
      <c r="M21" s="196">
        <f>Royalty!AM23</f>
        <v>609.82396350041972</v>
      </c>
      <c r="N21" s="196">
        <f>Development!BK103</f>
        <v>0</v>
      </c>
      <c r="O21" s="196">
        <f t="shared" si="7"/>
        <v>620.83700468294728</v>
      </c>
      <c r="P21" s="196">
        <f>O21*IF(A21=Abandonment!$B$4,1,P$5)</f>
        <v>186.25110140488417</v>
      </c>
      <c r="Q21" s="196">
        <f>Exploration!Z48</f>
        <v>0</v>
      </c>
      <c r="R21" s="196">
        <f t="shared" si="3"/>
        <v>2705.4575748562474</v>
      </c>
      <c r="S21" s="196">
        <f t="shared" si="4"/>
        <v>0</v>
      </c>
      <c r="T21" s="196">
        <f t="shared" si="10"/>
        <v>0</v>
      </c>
      <c r="U21" s="196">
        <f t="shared" si="5"/>
        <v>0</v>
      </c>
      <c r="V21" s="196">
        <f>IF(Input!$B$38="Yes",R21,MAX(0,R21+U20)+S21)</f>
        <v>2705.4575748562474</v>
      </c>
      <c r="W21" s="197">
        <v>0.14000000000000001</v>
      </c>
      <c r="X21" s="196">
        <f t="shared" si="8"/>
        <v>378.76406047987467</v>
      </c>
      <c r="Y21" s="64"/>
    </row>
    <row r="22" spans="1:25">
      <c r="A22" s="108">
        <f t="shared" si="9"/>
        <v>2035</v>
      </c>
      <c r="B22" s="196">
        <f>Revenue!Q23</f>
        <v>4744.1642155327918</v>
      </c>
      <c r="C22" s="196">
        <f>Operations!M31+Abandonment!G28</f>
        <v>520.38284147447939</v>
      </c>
      <c r="D22" s="196">
        <f>Development!BL104</f>
        <v>0</v>
      </c>
      <c r="E22" s="196">
        <f>IF($A22&lt;Production!$B$4,0,IF($A22=Production!$B$4,SUM(D$9:D22),D22))</f>
        <v>0</v>
      </c>
      <c r="F22" s="196">
        <f t="shared" si="6"/>
        <v>2155.080879098758</v>
      </c>
      <c r="G22" s="196">
        <f>F22*IF(A22=Abandonment!$B$4,1,G$5)</f>
        <v>538.77021977468951</v>
      </c>
      <c r="H22" s="196">
        <f>Development!BM104</f>
        <v>0</v>
      </c>
      <c r="I22" s="196">
        <f>IF($A22&lt;Production!$B$4,0,IF($A22=Production!$B$4,SUM(H$9:H22),H22))</f>
        <v>0</v>
      </c>
      <c r="J22" s="196">
        <f t="shared" si="1"/>
        <v>0</v>
      </c>
      <c r="K22" s="196">
        <f>J22*IF(Abandonment!$B$4='Federal Tax'!A23,1,K$5)</f>
        <v>0</v>
      </c>
      <c r="L22" s="196">
        <f t="shared" si="2"/>
        <v>3685.011154283623</v>
      </c>
      <c r="M22" s="196">
        <f>Royalty!AM24</f>
        <v>1329.7431099090877</v>
      </c>
      <c r="N22" s="196">
        <f>Development!BK104</f>
        <v>0</v>
      </c>
      <c r="O22" s="196">
        <f t="shared" si="7"/>
        <v>434.58590327806314</v>
      </c>
      <c r="P22" s="196">
        <f>O22*IF(A22=Abandonment!$B$4,1,P$5)</f>
        <v>130.37577098341893</v>
      </c>
      <c r="Q22" s="196">
        <f>Exploration!Z49</f>
        <v>0</v>
      </c>
      <c r="R22" s="196">
        <f t="shared" si="3"/>
        <v>2224.8922733911163</v>
      </c>
      <c r="S22" s="196">
        <f t="shared" si="4"/>
        <v>0</v>
      </c>
      <c r="T22" s="196">
        <f t="shared" si="10"/>
        <v>0</v>
      </c>
      <c r="U22" s="196">
        <f t="shared" si="5"/>
        <v>0</v>
      </c>
      <c r="V22" s="196">
        <f>IF(Input!$B$38="Yes",R22,MAX(0,R22+U21)+S22)</f>
        <v>2224.8922733911163</v>
      </c>
      <c r="W22" s="197">
        <v>0.14000000000000001</v>
      </c>
      <c r="X22" s="196">
        <f t="shared" si="8"/>
        <v>311.4849182747563</v>
      </c>
      <c r="Y22" s="64"/>
    </row>
    <row r="23" spans="1:25">
      <c r="A23" s="108">
        <f t="shared" si="9"/>
        <v>2036</v>
      </c>
      <c r="B23" s="196">
        <f>Revenue!Q24</f>
        <v>4224.8250692278016</v>
      </c>
      <c r="C23" s="196">
        <f>Operations!M32+Abandonment!G29</f>
        <v>488.69966965892007</v>
      </c>
      <c r="D23" s="196">
        <f>Development!BL105</f>
        <v>0</v>
      </c>
      <c r="E23" s="196">
        <f>IF($A23&lt;Production!$B$4,0,IF($A23=Production!$B$4,SUM(D$9:D23),D23))</f>
        <v>0</v>
      </c>
      <c r="F23" s="196">
        <f t="shared" si="6"/>
        <v>1616.3106593240686</v>
      </c>
      <c r="G23" s="196">
        <f>F23*IF(A23=Abandonment!$B$4,1,G$5)</f>
        <v>404.07766483101716</v>
      </c>
      <c r="H23" s="196">
        <f>Development!BM105</f>
        <v>0</v>
      </c>
      <c r="I23" s="196">
        <f>IF($A23&lt;Production!$B$4,0,IF($A23=Production!$B$4,SUM(H$9:H23),H23))</f>
        <v>0</v>
      </c>
      <c r="J23" s="196">
        <f t="shared" si="1"/>
        <v>0</v>
      </c>
      <c r="K23" s="196">
        <f>J23*IF(Abandonment!$B$4='Federal Tax'!A24,1,K$5)</f>
        <v>0</v>
      </c>
      <c r="L23" s="196">
        <f t="shared" si="2"/>
        <v>3332.0477347378646</v>
      </c>
      <c r="M23" s="196">
        <f>Royalty!AM25</f>
        <v>1290.5394014110461</v>
      </c>
      <c r="N23" s="196">
        <f>Development!BK105</f>
        <v>0</v>
      </c>
      <c r="O23" s="196">
        <f t="shared" si="7"/>
        <v>304.21013229464421</v>
      </c>
      <c r="P23" s="196">
        <f>O23*IF(A23=Abandonment!$B$4,1,P$5)</f>
        <v>91.263039688393263</v>
      </c>
      <c r="Q23" s="196">
        <f>Exploration!Z50</f>
        <v>0</v>
      </c>
      <c r="R23" s="196">
        <f t="shared" si="3"/>
        <v>1950.2452936384252</v>
      </c>
      <c r="S23" s="196">
        <f t="shared" si="4"/>
        <v>0</v>
      </c>
      <c r="T23" s="196">
        <f t="shared" si="10"/>
        <v>0</v>
      </c>
      <c r="U23" s="196">
        <f t="shared" si="5"/>
        <v>0</v>
      </c>
      <c r="V23" s="196">
        <f>IF(Input!$B$38="Yes",R23,MAX(0,R23+U22)+S23)</f>
        <v>1950.2452936384252</v>
      </c>
      <c r="W23" s="197">
        <v>0.14000000000000001</v>
      </c>
      <c r="X23" s="196">
        <f t="shared" si="8"/>
        <v>273.03434110937957</v>
      </c>
      <c r="Y23" s="64"/>
    </row>
    <row r="24" spans="1:25">
      <c r="A24" s="108">
        <f t="shared" si="9"/>
        <v>2037</v>
      </c>
      <c r="B24" s="196">
        <f>Revenue!Q25</f>
        <v>3687.8848585770402</v>
      </c>
      <c r="C24" s="196">
        <f>Operations!M33+Abandonment!G30</f>
        <v>456.89980930528867</v>
      </c>
      <c r="D24" s="196">
        <f>Development!BL106</f>
        <v>0</v>
      </c>
      <c r="E24" s="196">
        <f>IF($A24&lt;Production!$B$4,0,IF($A24=Production!$B$4,SUM(D$9:D24),D24))</f>
        <v>0</v>
      </c>
      <c r="F24" s="196">
        <f t="shared" si="6"/>
        <v>1212.2329944930516</v>
      </c>
      <c r="G24" s="196">
        <f>F24*IF(A24=Abandonment!$B$4,1,G$5)</f>
        <v>303.0582486232629</v>
      </c>
      <c r="H24" s="196">
        <f>Development!BM106</f>
        <v>0</v>
      </c>
      <c r="I24" s="196">
        <f>IF($A24&lt;Production!$B$4,0,IF($A24=Production!$B$4,SUM(H$9:H24),H24))</f>
        <v>0</v>
      </c>
      <c r="J24" s="196">
        <f t="shared" si="1"/>
        <v>0</v>
      </c>
      <c r="K24" s="196">
        <f>J24*IF(Abandonment!$B$4='Federal Tax'!A25,1,K$5)</f>
        <v>0</v>
      </c>
      <c r="L24" s="196">
        <f t="shared" si="2"/>
        <v>2927.9268006484886</v>
      </c>
      <c r="M24" s="196">
        <f>Royalty!AM26</f>
        <v>1114.8532739194279</v>
      </c>
      <c r="N24" s="196">
        <f>Development!BK106</f>
        <v>0</v>
      </c>
      <c r="O24" s="196">
        <f t="shared" si="7"/>
        <v>212.94709260625095</v>
      </c>
      <c r="P24" s="196">
        <f>O24*IF(A24=Abandonment!$B$4,1,P$5)</f>
        <v>63.884127781875279</v>
      </c>
      <c r="Q24" s="196">
        <f>Exploration!Z51</f>
        <v>0</v>
      </c>
      <c r="R24" s="196">
        <f t="shared" si="3"/>
        <v>1749.1893989471853</v>
      </c>
      <c r="S24" s="196">
        <f t="shared" si="4"/>
        <v>0</v>
      </c>
      <c r="T24" s="196">
        <f t="shared" si="10"/>
        <v>0</v>
      </c>
      <c r="U24" s="196">
        <f t="shared" si="5"/>
        <v>0</v>
      </c>
      <c r="V24" s="196">
        <f>IF(Input!$B$38="Yes",R24,MAX(0,R24+U23)+S24)</f>
        <v>1749.1893989471853</v>
      </c>
      <c r="W24" s="197">
        <v>0.14000000000000001</v>
      </c>
      <c r="X24" s="196">
        <f t="shared" si="8"/>
        <v>244.88651585260595</v>
      </c>
      <c r="Y24" s="64"/>
    </row>
    <row r="25" spans="1:25">
      <c r="A25" s="108">
        <f t="shared" si="9"/>
        <v>2038</v>
      </c>
      <c r="B25" s="196">
        <f>Revenue!Q26</f>
        <v>3228.7431936841967</v>
      </c>
      <c r="C25" s="196">
        <f>Operations!M34+Abandonment!G31</f>
        <v>430.29435095706208</v>
      </c>
      <c r="D25" s="196">
        <f>Development!BL107</f>
        <v>0</v>
      </c>
      <c r="E25" s="196">
        <f>IF($A25&lt;Production!$B$4,0,IF($A25=Production!$B$4,SUM(D$9:D25),D25))</f>
        <v>0</v>
      </c>
      <c r="F25" s="196">
        <f t="shared" si="6"/>
        <v>909.17474586978869</v>
      </c>
      <c r="G25" s="196">
        <f>F25*IF(A25=Abandonment!$B$4,1,G$5)</f>
        <v>227.29368646744717</v>
      </c>
      <c r="H25" s="196">
        <f>Development!BM107</f>
        <v>0</v>
      </c>
      <c r="I25" s="196">
        <f>IF($A25&lt;Production!$B$4,0,IF($A25=Production!$B$4,SUM(H$9:H25),H25))</f>
        <v>0</v>
      </c>
      <c r="J25" s="196">
        <f t="shared" si="1"/>
        <v>0</v>
      </c>
      <c r="K25" s="196">
        <f>J25*IF(Abandonment!$B$4='Federal Tax'!A26,1,K$5)</f>
        <v>0</v>
      </c>
      <c r="L25" s="196">
        <f t="shared" si="2"/>
        <v>2571.1551562596874</v>
      </c>
      <c r="M25" s="196">
        <f>Royalty!AM27</f>
        <v>964.39679267099984</v>
      </c>
      <c r="N25" s="196">
        <f>Development!BK107</f>
        <v>0</v>
      </c>
      <c r="O25" s="196">
        <f t="shared" si="7"/>
        <v>149.06296482437568</v>
      </c>
      <c r="P25" s="196">
        <f>O25*IF(A25=Abandonment!$B$4,1,P$5)</f>
        <v>44.718889447312705</v>
      </c>
      <c r="Q25" s="196">
        <f>Exploration!Z52</f>
        <v>0</v>
      </c>
      <c r="R25" s="196">
        <f t="shared" si="3"/>
        <v>1562.039474141375</v>
      </c>
      <c r="S25" s="196">
        <f t="shared" si="4"/>
        <v>0</v>
      </c>
      <c r="T25" s="196">
        <f t="shared" si="10"/>
        <v>0</v>
      </c>
      <c r="U25" s="196">
        <f t="shared" si="5"/>
        <v>0</v>
      </c>
      <c r="V25" s="196">
        <f>IF(Input!$B$38="Yes",R25,MAX(0,R25+U24)+S25)</f>
        <v>1562.039474141375</v>
      </c>
      <c r="W25" s="197">
        <v>0.14000000000000001</v>
      </c>
      <c r="X25" s="196">
        <f t="shared" si="8"/>
        <v>218.68552637979252</v>
      </c>
      <c r="Y25" s="64"/>
    </row>
    <row r="26" spans="1:25">
      <c r="A26" s="108">
        <f t="shared" si="9"/>
        <v>2039</v>
      </c>
      <c r="B26" s="196">
        <f>Revenue!Q27</f>
        <v>2826.7646660705136</v>
      </c>
      <c r="C26" s="196">
        <f>Operations!M35+Abandonment!G32</f>
        <v>407.90962921049828</v>
      </c>
      <c r="D26" s="196">
        <f>Development!BL108</f>
        <v>0</v>
      </c>
      <c r="E26" s="196">
        <f>IF($A26&lt;Production!$B$4,0,IF($A26=Production!$B$4,SUM(D$9:D26),D26))</f>
        <v>0</v>
      </c>
      <c r="F26" s="196">
        <f t="shared" si="6"/>
        <v>681.88105940234152</v>
      </c>
      <c r="G26" s="196">
        <f>F26*IF(A26=Abandonment!$B$4,1,G$5)</f>
        <v>170.47026485058538</v>
      </c>
      <c r="H26" s="196">
        <f>Development!BM108</f>
        <v>0</v>
      </c>
      <c r="I26" s="196">
        <f>IF($A26&lt;Production!$B$4,0,IF($A26=Production!$B$4,SUM(H$9:H26),H26))</f>
        <v>0</v>
      </c>
      <c r="J26" s="196">
        <f t="shared" si="1"/>
        <v>0</v>
      </c>
      <c r="K26" s="196">
        <f>J26*IF(Abandonment!$B$4='Federal Tax'!A27,1,K$5)</f>
        <v>0</v>
      </c>
      <c r="L26" s="196">
        <f t="shared" si="2"/>
        <v>2248.38477200943</v>
      </c>
      <c r="M26" s="196">
        <f>Royalty!AM28</f>
        <v>832.322425878638</v>
      </c>
      <c r="N26" s="196">
        <f>Development!BK108</f>
        <v>0</v>
      </c>
      <c r="O26" s="196">
        <f t="shared" si="7"/>
        <v>104.34407537706298</v>
      </c>
      <c r="P26" s="196">
        <f>O26*IF(A26=Abandonment!$B$4,1,P$5)</f>
        <v>31.303222613118891</v>
      </c>
      <c r="Q26" s="196">
        <f>Exploration!Z53</f>
        <v>0</v>
      </c>
      <c r="R26" s="196">
        <f t="shared" si="3"/>
        <v>1384.7591235176731</v>
      </c>
      <c r="S26" s="196">
        <f t="shared" si="4"/>
        <v>0</v>
      </c>
      <c r="T26" s="196">
        <f t="shared" si="10"/>
        <v>0</v>
      </c>
      <c r="U26" s="196">
        <f t="shared" si="5"/>
        <v>0</v>
      </c>
      <c r="V26" s="196">
        <f>IF(Input!$B$38="Yes",R26,MAX(0,R26+U25)+S26)</f>
        <v>1384.7591235176731</v>
      </c>
      <c r="W26" s="197">
        <v>0.14000000000000001</v>
      </c>
      <c r="X26" s="196">
        <f t="shared" si="8"/>
        <v>193.86627729247425</v>
      </c>
      <c r="Y26" s="64"/>
    </row>
    <row r="27" spans="1:25">
      <c r="A27" s="108">
        <f t="shared" si="9"/>
        <v>2040</v>
      </c>
      <c r="B27" s="196">
        <f>Revenue!Q28</f>
        <v>2481.0753866856876</v>
      </c>
      <c r="C27" s="196">
        <f>Operations!M36+Abandonment!G33</f>
        <v>389.40653100372413</v>
      </c>
      <c r="D27" s="196">
        <f>Development!BL109</f>
        <v>0</v>
      </c>
      <c r="E27" s="196">
        <f>IF($A27&lt;Production!$B$4,0,IF($A27=Production!$B$4,SUM(D$9:D27),D27))</f>
        <v>0</v>
      </c>
      <c r="F27" s="196">
        <f t="shared" si="6"/>
        <v>511.41079455175611</v>
      </c>
      <c r="G27" s="196">
        <f>F27*IF(A27=Abandonment!$B$4,1,G$5)</f>
        <v>127.85269863793903</v>
      </c>
      <c r="H27" s="196">
        <f>Development!BM109</f>
        <v>0</v>
      </c>
      <c r="I27" s="196">
        <f>IF($A27&lt;Production!$B$4,0,IF($A27=Production!$B$4,SUM(H$9:H27),H27))</f>
        <v>0</v>
      </c>
      <c r="J27" s="196">
        <f t="shared" si="1"/>
        <v>0</v>
      </c>
      <c r="K27" s="196">
        <f>J27*IF(Abandonment!$B$4='Federal Tax'!A28,1,K$5)</f>
        <v>0</v>
      </c>
      <c r="L27" s="196">
        <f t="shared" si="2"/>
        <v>1963.8161570440245</v>
      </c>
      <c r="M27" s="196">
        <f>Royalty!AM29</f>
        <v>718.45487090355675</v>
      </c>
      <c r="N27" s="196">
        <f>Development!BK109</f>
        <v>0</v>
      </c>
      <c r="O27" s="196">
        <f t="shared" si="7"/>
        <v>73.040852763944088</v>
      </c>
      <c r="P27" s="196">
        <f>O27*IF(A27=Abandonment!$B$4,1,P$5)</f>
        <v>21.912255829183227</v>
      </c>
      <c r="Q27" s="196">
        <f>Exploration!Z54</f>
        <v>0</v>
      </c>
      <c r="R27" s="196">
        <f t="shared" si="3"/>
        <v>1223.4490303112843</v>
      </c>
      <c r="S27" s="196">
        <f t="shared" si="4"/>
        <v>0</v>
      </c>
      <c r="T27" s="196">
        <f t="shared" si="10"/>
        <v>0</v>
      </c>
      <c r="U27" s="196">
        <f t="shared" si="5"/>
        <v>0</v>
      </c>
      <c r="V27" s="196">
        <f>IF(Input!$B$38="Yes",R27,MAX(0,R27+U26)+S27)</f>
        <v>1223.4490303112843</v>
      </c>
      <c r="W27" s="197">
        <v>0.14000000000000001</v>
      </c>
      <c r="X27" s="196">
        <f t="shared" si="8"/>
        <v>171.28286424357981</v>
      </c>
      <c r="Y27" s="64"/>
    </row>
    <row r="28" spans="1:25">
      <c r="A28" s="108">
        <f t="shared" si="9"/>
        <v>2041</v>
      </c>
      <c r="B28" s="196">
        <f>Revenue!Q29</f>
        <v>2165.7512918561383</v>
      </c>
      <c r="C28" s="196">
        <f>Operations!M37+Abandonment!G34</f>
        <v>373.80407713396335</v>
      </c>
      <c r="D28" s="196">
        <f>Development!BL110</f>
        <v>0</v>
      </c>
      <c r="E28" s="196">
        <f>IF($A28&lt;Production!$B$4,0,IF($A28=Production!$B$4,SUM(D$9:D28),D28))</f>
        <v>0</v>
      </c>
      <c r="F28" s="196">
        <f t="shared" si="6"/>
        <v>383.55809591381706</v>
      </c>
      <c r="G28" s="196">
        <f>F28*IF(A28=Abandonment!$B$4,1,G$5)</f>
        <v>95.889523978454264</v>
      </c>
      <c r="H28" s="196">
        <f>Development!BM110</f>
        <v>0</v>
      </c>
      <c r="I28" s="196">
        <f>IF($A28&lt;Production!$B$4,0,IF($A28=Production!$B$4,SUM(H$9:H28),H28))</f>
        <v>0</v>
      </c>
      <c r="J28" s="196">
        <f t="shared" si="1"/>
        <v>0</v>
      </c>
      <c r="K28" s="196">
        <f>J28*IF(Abandonment!$B$4='Federal Tax'!A29,1,K$5)</f>
        <v>0</v>
      </c>
      <c r="L28" s="196">
        <f t="shared" si="2"/>
        <v>1696.0576907437207</v>
      </c>
      <c r="M28" s="196">
        <f>Royalty!AM30</f>
        <v>614.09838245307242</v>
      </c>
      <c r="N28" s="196">
        <f>Development!BK110</f>
        <v>0</v>
      </c>
      <c r="O28" s="196">
        <f t="shared" si="7"/>
        <v>51.128596934760864</v>
      </c>
      <c r="P28" s="196">
        <f>O28*IF(A28=Abandonment!$B$4,1,P$5)</f>
        <v>15.338579080428259</v>
      </c>
      <c r="Q28" s="196">
        <f>Exploration!Z55</f>
        <v>0</v>
      </c>
      <c r="R28" s="196">
        <f t="shared" si="3"/>
        <v>1066.6207292102201</v>
      </c>
      <c r="S28" s="196">
        <f t="shared" si="4"/>
        <v>0</v>
      </c>
      <c r="T28" s="196">
        <f t="shared" si="10"/>
        <v>0</v>
      </c>
      <c r="U28" s="196">
        <f t="shared" si="5"/>
        <v>0</v>
      </c>
      <c r="V28" s="196">
        <f>IF(Input!$B$38="Yes",R28,MAX(0,R28+U27)+S28)</f>
        <v>1066.6207292102201</v>
      </c>
      <c r="W28" s="197">
        <v>0.14000000000000001</v>
      </c>
      <c r="X28" s="196">
        <f t="shared" si="8"/>
        <v>149.32690208943083</v>
      </c>
      <c r="Y28" s="64"/>
    </row>
    <row r="29" spans="1:25">
      <c r="A29" s="108">
        <f t="shared" si="9"/>
        <v>2042</v>
      </c>
      <c r="B29" s="196">
        <f>Revenue!Q30</f>
        <v>1896.1152560200517</v>
      </c>
      <c r="C29" s="196">
        <f>Operations!M38+Abandonment!G35</f>
        <v>361.34426446799074</v>
      </c>
      <c r="D29" s="196">
        <f>Development!BL111</f>
        <v>0</v>
      </c>
      <c r="E29" s="196">
        <f>IF($A29&lt;Production!$B$4,0,IF($A29=Production!$B$4,SUM(D$9:D29),D29))</f>
        <v>0</v>
      </c>
      <c r="F29" s="196">
        <f t="shared" si="6"/>
        <v>287.66857193536282</v>
      </c>
      <c r="G29" s="196">
        <f>F29*IF(A29=Abandonment!$B$4,1,G$5)</f>
        <v>71.917142983840705</v>
      </c>
      <c r="H29" s="196">
        <f>Development!BM111</f>
        <v>0</v>
      </c>
      <c r="I29" s="196">
        <f>IF($A29&lt;Production!$B$4,0,IF($A29=Production!$B$4,SUM(H$9:H29),H29))</f>
        <v>0</v>
      </c>
      <c r="J29" s="196">
        <f t="shared" si="1"/>
        <v>0</v>
      </c>
      <c r="K29" s="196">
        <f>J29*IF(Abandonment!$B$4='Federal Tax'!A30,1,K$5)</f>
        <v>0</v>
      </c>
      <c r="L29" s="196">
        <f t="shared" si="2"/>
        <v>1462.8538485682202</v>
      </c>
      <c r="M29" s="196">
        <f>Royalty!AM31</f>
        <v>524.52279778684158</v>
      </c>
      <c r="N29" s="196">
        <f>Development!BK111</f>
        <v>0</v>
      </c>
      <c r="O29" s="196">
        <f t="shared" si="7"/>
        <v>35.790017854332604</v>
      </c>
      <c r="P29" s="196">
        <f>O29*IF(A29=Abandonment!$B$4,1,P$5)</f>
        <v>10.737005356299781</v>
      </c>
      <c r="Q29" s="196">
        <f>Exploration!Z56</f>
        <v>0</v>
      </c>
      <c r="R29" s="196">
        <f t="shared" si="3"/>
        <v>927.59404542507889</v>
      </c>
      <c r="S29" s="196">
        <f t="shared" si="4"/>
        <v>0</v>
      </c>
      <c r="T29" s="196">
        <f t="shared" si="10"/>
        <v>0</v>
      </c>
      <c r="U29" s="196">
        <f t="shared" si="5"/>
        <v>0</v>
      </c>
      <c r="V29" s="196">
        <f>IF(Input!$B$38="Yes",R29,MAX(0,R29+U28)+S29)</f>
        <v>927.59404542507889</v>
      </c>
      <c r="W29" s="197">
        <v>0.14000000000000001</v>
      </c>
      <c r="X29" s="196">
        <f t="shared" si="8"/>
        <v>129.86316635951107</v>
      </c>
      <c r="Y29" s="64"/>
    </row>
    <row r="30" spans="1:25">
      <c r="A30" s="108">
        <f t="shared" si="9"/>
        <v>2043</v>
      </c>
      <c r="B30" s="196">
        <f>Revenue!Q31</f>
        <v>1660.0489066455534</v>
      </c>
      <c r="C30" s="196">
        <f>Operations!M39+Abandonment!G36</f>
        <v>351.45806232704751</v>
      </c>
      <c r="D30" s="196">
        <f>Development!BL112</f>
        <v>0</v>
      </c>
      <c r="E30" s="196">
        <f>IF($A30&lt;Production!$B$4,0,IF($A30=Production!$B$4,SUM(D$9:D30),D30))</f>
        <v>0</v>
      </c>
      <c r="F30" s="196">
        <f t="shared" si="6"/>
        <v>215.75142895152212</v>
      </c>
      <c r="G30" s="196">
        <f>F30*IF(A30=Abandonment!$B$4,1,G$5)</f>
        <v>53.937857237880529</v>
      </c>
      <c r="H30" s="196">
        <f>Development!BM112</f>
        <v>0</v>
      </c>
      <c r="I30" s="196">
        <f>IF($A30&lt;Production!$B$4,0,IF($A30=Production!$B$4,SUM(H$9:H30),H30))</f>
        <v>0</v>
      </c>
      <c r="J30" s="196">
        <f t="shared" si="1"/>
        <v>0</v>
      </c>
      <c r="K30" s="196">
        <f>J30*IF(Abandonment!$B$4='Federal Tax'!A31,1,K$5)</f>
        <v>0</v>
      </c>
      <c r="L30" s="196">
        <f t="shared" si="2"/>
        <v>1254.6529870806253</v>
      </c>
      <c r="M30" s="196">
        <f>Royalty!AM32</f>
        <v>445.70576333003038</v>
      </c>
      <c r="N30" s="196">
        <f>Development!BK112</f>
        <v>0</v>
      </c>
      <c r="O30" s="196">
        <f t="shared" si="7"/>
        <v>25.053012498032821</v>
      </c>
      <c r="P30" s="196">
        <f>O30*IF(A30=Abandonment!$B$4,1,P$5)</f>
        <v>7.515903749409846</v>
      </c>
      <c r="Q30" s="196">
        <f>Exploration!Z57</f>
        <v>0</v>
      </c>
      <c r="R30" s="196">
        <f t="shared" si="3"/>
        <v>801.4313200011851</v>
      </c>
      <c r="S30" s="196">
        <f t="shared" si="4"/>
        <v>0</v>
      </c>
      <c r="T30" s="196">
        <f t="shared" si="10"/>
        <v>0</v>
      </c>
      <c r="U30" s="196">
        <f t="shared" si="5"/>
        <v>0</v>
      </c>
      <c r="V30" s="196">
        <f>IF(Input!$B$38="Yes",R30,MAX(0,R30+U29)+S30)</f>
        <v>801.4313200011851</v>
      </c>
      <c r="W30" s="197">
        <v>0.14000000000000001</v>
      </c>
      <c r="X30" s="196">
        <f t="shared" si="8"/>
        <v>112.20038480016592</v>
      </c>
      <c r="Y30" s="64"/>
    </row>
    <row r="31" spans="1:25">
      <c r="A31" s="108">
        <f t="shared" si="9"/>
        <v>2044</v>
      </c>
      <c r="B31" s="196">
        <f>Revenue!Q32</f>
        <v>1457.0390426940562</v>
      </c>
      <c r="C31" s="196">
        <f>Operations!M40+Abandonment!G37</f>
        <v>343.94917088795296</v>
      </c>
      <c r="D31" s="196">
        <f>Development!BL113</f>
        <v>0</v>
      </c>
      <c r="E31" s="196">
        <f>IF($A31&lt;Production!$B$4,0,IF($A31=Production!$B$4,SUM(D$9:D31),D31))</f>
        <v>0</v>
      </c>
      <c r="F31" s="196">
        <f t="shared" si="6"/>
        <v>161.81357171364158</v>
      </c>
      <c r="G31" s="196">
        <f>F31*IF(A31=Abandonment!$B$4,1,G$5)</f>
        <v>40.453392928410395</v>
      </c>
      <c r="H31" s="196">
        <f>Development!BM113</f>
        <v>0</v>
      </c>
      <c r="I31" s="196">
        <f>IF($A31&lt;Production!$B$4,0,IF($A31=Production!$B$4,SUM(H$9:H31),H31))</f>
        <v>0</v>
      </c>
      <c r="J31" s="196">
        <f t="shared" si="1"/>
        <v>0</v>
      </c>
      <c r="K31" s="196">
        <f>J31*IF(Abandonment!$B$4='Federal Tax'!A32,1,K$5)</f>
        <v>0</v>
      </c>
      <c r="L31" s="196">
        <f t="shared" si="2"/>
        <v>1072.6364788776928</v>
      </c>
      <c r="M31" s="196">
        <f>Royalty!AM33</f>
        <v>377.54323415105779</v>
      </c>
      <c r="N31" s="196">
        <f>Development!BK113</f>
        <v>0</v>
      </c>
      <c r="O31" s="196">
        <f t="shared" si="7"/>
        <v>17.537108748622977</v>
      </c>
      <c r="P31" s="196">
        <f>O31*IF(A31=Abandonment!$B$4,1,P$5)</f>
        <v>5.2611326245868932</v>
      </c>
      <c r="Q31" s="196">
        <f>Exploration!Z58</f>
        <v>0</v>
      </c>
      <c r="R31" s="196">
        <f t="shared" si="3"/>
        <v>689.83211210204809</v>
      </c>
      <c r="S31" s="196">
        <f>-MIN(-MIN(R31,0),MAX(0,SUM(V28:V30)-SUM(S28:S30)+T30))</f>
        <v>0</v>
      </c>
      <c r="T31" s="196">
        <f t="shared" si="10"/>
        <v>0</v>
      </c>
      <c r="U31" s="196">
        <f t="shared" si="5"/>
        <v>0</v>
      </c>
      <c r="V31" s="196">
        <f>IF(Input!$B$38="Yes",R31,MAX(0,R31+U30)+S31)</f>
        <v>689.83211210204809</v>
      </c>
      <c r="W31" s="197">
        <v>0.14000000000000001</v>
      </c>
      <c r="X31" s="196">
        <f t="shared" si="8"/>
        <v>96.576495694286734</v>
      </c>
      <c r="Y31" s="64"/>
    </row>
    <row r="32" spans="1:25">
      <c r="A32" s="108">
        <f t="shared" si="9"/>
        <v>2045</v>
      </c>
      <c r="B32" s="196">
        <f>Revenue!Q33</f>
        <v>1271.8614702049981</v>
      </c>
      <c r="C32" s="196">
        <f>Operations!M41+Abandonment!G38</f>
        <v>338.24443275876462</v>
      </c>
      <c r="D32" s="196">
        <f>Development!BL114</f>
        <v>0</v>
      </c>
      <c r="E32" s="196">
        <f>IF($A32&lt;Production!$B$4,0,IF($A32=Production!$B$4,SUM(D$9:D32),D32))</f>
        <v>0</v>
      </c>
      <c r="F32" s="196">
        <f t="shared" si="6"/>
        <v>121.36017878523118</v>
      </c>
      <c r="G32" s="196">
        <f>F32*IF(A32=Abandonment!$B$4,1,G$5)</f>
        <v>30.340044696307796</v>
      </c>
      <c r="H32" s="196">
        <f>Development!BM114</f>
        <v>0</v>
      </c>
      <c r="I32" s="196">
        <f>IF($A32&lt;Production!$B$4,0,IF($A32=Production!$B$4,SUM(H$9:H32),H32))</f>
        <v>0</v>
      </c>
      <c r="J32" s="196">
        <f t="shared" si="1"/>
        <v>0</v>
      </c>
      <c r="K32" s="196">
        <f>J32*IF(Abandonment!$B$4='Federal Tax'!A33,1,K$5)</f>
        <v>0</v>
      </c>
      <c r="L32" s="196">
        <f t="shared" si="2"/>
        <v>903.27699274992574</v>
      </c>
      <c r="M32" s="196">
        <f>Royalty!AM34</f>
        <v>314.92740795962493</v>
      </c>
      <c r="N32" s="196">
        <f>Development!BK114</f>
        <v>0</v>
      </c>
      <c r="O32" s="196">
        <f t="shared" si="7"/>
        <v>12.275976124036085</v>
      </c>
      <c r="P32" s="196">
        <f>O32*IF(A32=Abandonment!$B$4,1,P$5)</f>
        <v>3.6827928372108252</v>
      </c>
      <c r="Q32" s="196">
        <f>Exploration!Z59</f>
        <v>0</v>
      </c>
      <c r="R32" s="196">
        <f t="shared" si="3"/>
        <v>584.66679195308996</v>
      </c>
      <c r="S32" s="196">
        <f t="shared" si="4"/>
        <v>0</v>
      </c>
      <c r="T32" s="196">
        <f t="shared" si="10"/>
        <v>0</v>
      </c>
      <c r="U32" s="196">
        <f t="shared" si="5"/>
        <v>0</v>
      </c>
      <c r="V32" s="196">
        <f>IF(Input!$B$38="Yes",R32,MAX(0,R32+U31)+S32)</f>
        <v>584.66679195308996</v>
      </c>
      <c r="W32" s="197">
        <v>0.14000000000000001</v>
      </c>
      <c r="X32" s="196">
        <f t="shared" si="8"/>
        <v>81.853350873432603</v>
      </c>
      <c r="Y32" s="64"/>
    </row>
    <row r="33" spans="1:25">
      <c r="A33" s="108">
        <f t="shared" si="9"/>
        <v>2046</v>
      </c>
      <c r="B33" s="196">
        <f>Revenue!Q34</f>
        <v>1113.5147171644735</v>
      </c>
      <c r="C33" s="196">
        <f>Operations!M42+Abandonment!G39</f>
        <v>334.48898481630653</v>
      </c>
      <c r="D33" s="196">
        <f>Development!BL115</f>
        <v>0</v>
      </c>
      <c r="E33" s="196">
        <f>IF($A33&lt;Production!$B$4,0,IF($A33=Production!$B$4,SUM(D$9:D33),D33))</f>
        <v>0</v>
      </c>
      <c r="F33" s="196">
        <f t="shared" si="6"/>
        <v>91.020134088923385</v>
      </c>
      <c r="G33" s="196">
        <f>F33*IF(A33=Abandonment!$B$4,1,G$5)</f>
        <v>22.755033522230846</v>
      </c>
      <c r="H33" s="196">
        <f>Development!BM115</f>
        <v>0</v>
      </c>
      <c r="I33" s="196">
        <f>IF($A33&lt;Production!$B$4,0,IF($A33=Production!$B$4,SUM(H$9:H33),H33))</f>
        <v>0</v>
      </c>
      <c r="J33" s="196">
        <f t="shared" si="1"/>
        <v>0</v>
      </c>
      <c r="K33" s="196">
        <f>J33*IF(Abandonment!$B$4='Federal Tax'!A34,1,K$5)</f>
        <v>0</v>
      </c>
      <c r="L33" s="196">
        <f t="shared" si="2"/>
        <v>756.27069882593605</v>
      </c>
      <c r="M33" s="196">
        <f>Royalty!AM35</f>
        <v>260.95189185328769</v>
      </c>
      <c r="N33" s="196">
        <f>Development!BK115</f>
        <v>0</v>
      </c>
      <c r="O33" s="196">
        <f t="shared" si="7"/>
        <v>8.5931832868252584</v>
      </c>
      <c r="P33" s="196">
        <f>O33*IF(A33=Abandonment!$B$4,1,P$5)</f>
        <v>2.5779549860475774</v>
      </c>
      <c r="Q33" s="196">
        <f>Exploration!Z60</f>
        <v>0</v>
      </c>
      <c r="R33" s="196">
        <f t="shared" si="3"/>
        <v>492.74085198660077</v>
      </c>
      <c r="S33" s="196">
        <f t="shared" si="4"/>
        <v>0</v>
      </c>
      <c r="T33" s="196">
        <f t="shared" si="10"/>
        <v>0</v>
      </c>
      <c r="U33" s="196">
        <f t="shared" si="5"/>
        <v>0</v>
      </c>
      <c r="V33" s="196">
        <f>IF(Input!$B$38="Yes",R33,MAX(0,R33+U32)+S33)</f>
        <v>492.74085198660077</v>
      </c>
      <c r="W33" s="197">
        <v>0.14000000000000001</v>
      </c>
      <c r="X33" s="196">
        <f t="shared" si="8"/>
        <v>68.983719278124113</v>
      </c>
      <c r="Y33" s="64"/>
    </row>
    <row r="34" spans="1:25">
      <c r="A34" s="108">
        <f t="shared" si="9"/>
        <v>2047</v>
      </c>
      <c r="B34" s="196">
        <f>Revenue!Q35</f>
        <v>974.88213487749533</v>
      </c>
      <c r="C34" s="196">
        <f>Operations!M43+Abandonment!G40</f>
        <v>332.35176966076489</v>
      </c>
      <c r="D34" s="196">
        <f>Development!BL116</f>
        <v>0</v>
      </c>
      <c r="E34" s="196">
        <f>IF($A34&lt;Production!$B$4,0,IF($A34=Production!$B$4,SUM(D$9:D34),D34))</f>
        <v>0</v>
      </c>
      <c r="F34" s="196">
        <f t="shared" si="6"/>
        <v>68.265100566692539</v>
      </c>
      <c r="G34" s="196">
        <f>F34*IF(A34=Abandonment!$B$4,1,G$5)</f>
        <v>17.066275141673135</v>
      </c>
      <c r="H34" s="196">
        <f>Development!BM116</f>
        <v>0</v>
      </c>
      <c r="I34" s="196">
        <f>IF($A34&lt;Production!$B$4,0,IF($A34=Production!$B$4,SUM(H$9:H34),H34))</f>
        <v>0</v>
      </c>
      <c r="J34" s="196">
        <f t="shared" si="1"/>
        <v>0</v>
      </c>
      <c r="K34" s="196">
        <f>J34*IF(Abandonment!$B$4='Federal Tax'!A35,1,K$5)</f>
        <v>0</v>
      </c>
      <c r="L34" s="196">
        <f t="shared" si="2"/>
        <v>625.46409007505724</v>
      </c>
      <c r="M34" s="196">
        <f>Royalty!AM36</f>
        <v>213.25331588772886</v>
      </c>
      <c r="N34" s="196">
        <f>Development!BK116</f>
        <v>0</v>
      </c>
      <c r="O34" s="196">
        <f t="shared" si="7"/>
        <v>6.0152283007776806</v>
      </c>
      <c r="P34" s="196">
        <f>O34*IF(A34=Abandonment!$B$4,1,P$5)</f>
        <v>1.8045684902333041</v>
      </c>
      <c r="Q34" s="196">
        <f>Exploration!Z61</f>
        <v>0</v>
      </c>
      <c r="R34" s="196">
        <f t="shared" si="3"/>
        <v>410.40620569709512</v>
      </c>
      <c r="S34" s="196">
        <f t="shared" si="4"/>
        <v>0</v>
      </c>
      <c r="T34" s="196">
        <f t="shared" si="10"/>
        <v>0</v>
      </c>
      <c r="U34" s="196">
        <f t="shared" si="5"/>
        <v>0</v>
      </c>
      <c r="V34" s="196">
        <f>IF(Input!$B$38="Yes",R34,MAX(0,R34+U33)+S34)</f>
        <v>410.40620569709512</v>
      </c>
      <c r="W34" s="197">
        <v>0.14000000000000001</v>
      </c>
      <c r="X34" s="196">
        <f t="shared" si="8"/>
        <v>57.456868797593323</v>
      </c>
      <c r="Y34" s="64"/>
    </row>
    <row r="35" spans="1:25">
      <c r="A35" s="108">
        <f t="shared" si="9"/>
        <v>2048</v>
      </c>
      <c r="B35" s="196">
        <f>Revenue!Q36</f>
        <v>855.66234034135948</v>
      </c>
      <c r="C35" s="196">
        <f>Operations!M44+Abandonment!G41</f>
        <v>331.72071358721138</v>
      </c>
      <c r="D35" s="196">
        <f>Development!BL117</f>
        <v>0</v>
      </c>
      <c r="E35" s="196">
        <f>IF($A35&lt;Production!$B$4,0,IF($A35=Production!$B$4,SUM(D$9:D35),D35))</f>
        <v>0</v>
      </c>
      <c r="F35" s="196">
        <f t="shared" si="6"/>
        <v>51.198825425019407</v>
      </c>
      <c r="G35" s="196">
        <f>F35*IF(A35=Abandonment!$B$4,1,G$5)</f>
        <v>12.799706356254852</v>
      </c>
      <c r="H35" s="196">
        <f>Development!BM117</f>
        <v>0</v>
      </c>
      <c r="I35" s="196">
        <f>IF($A35&lt;Production!$B$4,0,IF($A35=Production!$B$4,SUM(H$9:H35),H35))</f>
        <v>0</v>
      </c>
      <c r="J35" s="196">
        <f t="shared" si="1"/>
        <v>0</v>
      </c>
      <c r="K35" s="196">
        <f>J35*IF(Abandonment!$B$4='Federal Tax'!A36,1,K$5)</f>
        <v>0</v>
      </c>
      <c r="L35" s="196">
        <f t="shared" si="2"/>
        <v>511.14192039789322</v>
      </c>
      <c r="M35" s="196">
        <f>Royalty!AM37</f>
        <v>171.76934438839942</v>
      </c>
      <c r="N35" s="196">
        <f>Development!BK117</f>
        <v>0</v>
      </c>
      <c r="O35" s="196">
        <f t="shared" si="7"/>
        <v>4.2106598105443762</v>
      </c>
      <c r="P35" s="196">
        <f>O35*IF(A35=Abandonment!$B$4,1,P$5)</f>
        <v>1.2631979431633129</v>
      </c>
      <c r="Q35" s="196">
        <f>Exploration!Z62</f>
        <v>0</v>
      </c>
      <c r="R35" s="196">
        <f t="shared" si="3"/>
        <v>338.10937806633046</v>
      </c>
      <c r="S35" s="196">
        <f t="shared" si="4"/>
        <v>0</v>
      </c>
      <c r="T35" s="196">
        <f t="shared" si="10"/>
        <v>0</v>
      </c>
      <c r="U35" s="196">
        <f t="shared" si="5"/>
        <v>0</v>
      </c>
      <c r="V35" s="196">
        <f>IF(Input!$B$38="Yes",R35,MAX(0,R35+U34)+S35)</f>
        <v>338.10937806633046</v>
      </c>
      <c r="W35" s="197">
        <v>0.14000000000000001</v>
      </c>
      <c r="X35" s="196">
        <f t="shared" si="8"/>
        <v>47.335312929286268</v>
      </c>
      <c r="Y35" s="64"/>
    </row>
    <row r="36" spans="1:25">
      <c r="A36" s="108">
        <f t="shared" si="9"/>
        <v>2049</v>
      </c>
      <c r="B36" s="196">
        <f>Revenue!Q37</f>
        <v>746.91475677506548</v>
      </c>
      <c r="C36" s="196">
        <f>Operations!M45+Abandonment!G42</f>
        <v>332.26252526940027</v>
      </c>
      <c r="D36" s="196">
        <f>Development!BL118</f>
        <v>0</v>
      </c>
      <c r="E36" s="196">
        <f>IF($A36&lt;Production!$B$4,0,IF($A36=Production!$B$4,SUM(D$9:D36),D36))</f>
        <v>0</v>
      </c>
      <c r="F36" s="196">
        <f t="shared" si="6"/>
        <v>38.399119068764556</v>
      </c>
      <c r="G36" s="196">
        <f>F36*IF(A36=Abandonment!$B$4,1,G$5)</f>
        <v>9.5997797671911389</v>
      </c>
      <c r="H36" s="196">
        <f>Development!BM118</f>
        <v>0</v>
      </c>
      <c r="I36" s="196">
        <f>IF($A36&lt;Production!$B$4,0,IF($A36=Production!$B$4,SUM(H$9:H36),H36))</f>
        <v>0</v>
      </c>
      <c r="J36" s="196">
        <f t="shared" si="1"/>
        <v>0</v>
      </c>
      <c r="K36" s="196">
        <f>J36*IF(Abandonment!$B$4='Federal Tax'!A37,1,K$5)</f>
        <v>0</v>
      </c>
      <c r="L36" s="196">
        <f t="shared" si="2"/>
        <v>405.05245173847408</v>
      </c>
      <c r="M36" s="196">
        <f>Royalty!AM38</f>
        <v>133.49909264255379</v>
      </c>
      <c r="N36" s="196">
        <f>Development!BK118</f>
        <v>0</v>
      </c>
      <c r="O36" s="196">
        <f t="shared" si="7"/>
        <v>2.9474618673810635</v>
      </c>
      <c r="P36" s="196">
        <f>O36*IF(A36=Abandonment!$B$4,1,P$5)</f>
        <v>0.88423856021431901</v>
      </c>
      <c r="Q36" s="196">
        <f>Exploration!Z63</f>
        <v>0</v>
      </c>
      <c r="R36" s="196">
        <f t="shared" si="3"/>
        <v>270.66912053570599</v>
      </c>
      <c r="S36" s="196">
        <f t="shared" si="4"/>
        <v>0</v>
      </c>
      <c r="T36" s="196">
        <f t="shared" si="10"/>
        <v>0</v>
      </c>
      <c r="U36" s="196">
        <f t="shared" si="5"/>
        <v>0</v>
      </c>
      <c r="V36" s="196">
        <f>IF(Input!$B$38="Yes",R36,MAX(0,R36+U35)+S36)</f>
        <v>270.66912053570599</v>
      </c>
      <c r="W36" s="197">
        <v>0.14000000000000001</v>
      </c>
      <c r="X36" s="196">
        <f t="shared" si="8"/>
        <v>37.893676874998839</v>
      </c>
      <c r="Y36" s="64"/>
    </row>
    <row r="37" spans="1:25">
      <c r="A37" s="108">
        <f t="shared" si="9"/>
        <v>2050</v>
      </c>
      <c r="B37" s="196">
        <f>Revenue!Q38</f>
        <v>653.92386955657173</v>
      </c>
      <c r="C37" s="196">
        <f>Operations!M46+Abandonment!G43</f>
        <v>334.06583870955592</v>
      </c>
      <c r="D37" s="196">
        <f>Development!BL119</f>
        <v>0</v>
      </c>
      <c r="E37" s="196">
        <f>IF($A37&lt;Production!$B$4,0,IF($A37=Production!$B$4,SUM(D$9:D37),D37))</f>
        <v>0</v>
      </c>
      <c r="F37" s="196">
        <f t="shared" si="6"/>
        <v>28.799339301573418</v>
      </c>
      <c r="G37" s="196">
        <f>F37*IF(A37=Abandonment!$B$4,1,G$5)</f>
        <v>7.1998348253933546</v>
      </c>
      <c r="H37" s="196">
        <f>Development!BM119</f>
        <v>0</v>
      </c>
      <c r="I37" s="196">
        <f>IF($A37&lt;Production!$B$4,0,IF($A37=Production!$B$4,SUM(H$9:H37),H37))</f>
        <v>0</v>
      </c>
      <c r="J37" s="196">
        <f t="shared" si="1"/>
        <v>0</v>
      </c>
      <c r="K37" s="196">
        <f>J37*IF(Abandonment!$B$4='Federal Tax'!A38,1,K$5)</f>
        <v>0</v>
      </c>
      <c r="L37" s="196">
        <f t="shared" si="2"/>
        <v>312.65819602162247</v>
      </c>
      <c r="M37" s="196">
        <f>Royalty!AM39</f>
        <v>100.25800644162105</v>
      </c>
      <c r="N37" s="196">
        <f>Development!BK119</f>
        <v>0</v>
      </c>
      <c r="O37" s="196">
        <f t="shared" si="7"/>
        <v>2.0632233071667443</v>
      </c>
      <c r="P37" s="196">
        <f>O37*IF(A37=Abandonment!$B$4,1,P$5)</f>
        <v>0.61896699215002327</v>
      </c>
      <c r="Q37" s="196">
        <f>Exploration!Z64</f>
        <v>0</v>
      </c>
      <c r="R37" s="196">
        <f t="shared" si="3"/>
        <v>211.7812225878514</v>
      </c>
      <c r="S37" s="196">
        <f t="shared" si="4"/>
        <v>0</v>
      </c>
      <c r="T37" s="196">
        <f t="shared" si="10"/>
        <v>0</v>
      </c>
      <c r="U37" s="196">
        <f t="shared" si="5"/>
        <v>0</v>
      </c>
      <c r="V37" s="196">
        <f>IF(Input!$B$38="Yes",R37,MAX(0,R37+U36)+S37)</f>
        <v>211.7812225878514</v>
      </c>
      <c r="W37" s="197">
        <v>0.14000000000000001</v>
      </c>
      <c r="X37" s="196">
        <f t="shared" si="8"/>
        <v>29.6493711622992</v>
      </c>
      <c r="Y37" s="64"/>
    </row>
    <row r="38" spans="1:25">
      <c r="A38" s="108">
        <f t="shared" si="9"/>
        <v>2051</v>
      </c>
      <c r="B38" s="196">
        <f>Revenue!Q39</f>
        <v>572.51034779677798</v>
      </c>
      <c r="C38" s="196">
        <f>Operations!M47+Abandonment!G44</f>
        <v>336.93973956149796</v>
      </c>
      <c r="D38" s="196">
        <f>Development!BL120</f>
        <v>0</v>
      </c>
      <c r="E38" s="196">
        <f>IF($A38&lt;Production!$B$4,0,IF($A38=Production!$B$4,SUM(D$9:D38),D38))</f>
        <v>0</v>
      </c>
      <c r="F38" s="196">
        <f t="shared" si="6"/>
        <v>21.599504476180066</v>
      </c>
      <c r="G38" s="196">
        <f>F38*IF(A38=Abandonment!$B$4,1,G$5)</f>
        <v>5.3998761190450164</v>
      </c>
      <c r="H38" s="196">
        <f>Development!BM120</f>
        <v>0</v>
      </c>
      <c r="I38" s="196">
        <f>IF($A38&lt;Production!$B$4,0,IF($A38=Production!$B$4,SUM(H$9:H38),H38))</f>
        <v>0</v>
      </c>
      <c r="J38" s="196">
        <f t="shared" si="1"/>
        <v>0</v>
      </c>
      <c r="K38" s="196">
        <f>J38*IF(Abandonment!$B$4='Federal Tax'!A39,1,K$5)</f>
        <v>0</v>
      </c>
      <c r="L38" s="196">
        <f t="shared" si="2"/>
        <v>230.170732116235</v>
      </c>
      <c r="M38" s="196">
        <f>Royalty!AM40</f>
        <v>70.656821997695559</v>
      </c>
      <c r="N38" s="196">
        <f>Development!BK120</f>
        <v>0</v>
      </c>
      <c r="O38" s="196">
        <f t="shared" si="7"/>
        <v>1.4442563150167209</v>
      </c>
      <c r="P38" s="196">
        <f>O38*IF(A38=Abandonment!$B$4,1,P$5)</f>
        <v>0.43327689450501627</v>
      </c>
      <c r="Q38" s="196">
        <f>Exploration!Z65</f>
        <v>0</v>
      </c>
      <c r="R38" s="196">
        <f t="shared" si="3"/>
        <v>159.08063322403444</v>
      </c>
      <c r="S38" s="196">
        <f t="shared" si="4"/>
        <v>0</v>
      </c>
      <c r="T38" s="196">
        <f t="shared" si="10"/>
        <v>0</v>
      </c>
      <c r="U38" s="196">
        <f t="shared" si="5"/>
        <v>0</v>
      </c>
      <c r="V38" s="196">
        <f>IF(Input!$B$38="Yes",R38,MAX(0,R38+U37)+S38)</f>
        <v>159.08063322403444</v>
      </c>
      <c r="W38" s="197">
        <v>0.14000000000000001</v>
      </c>
      <c r="X38" s="196">
        <f t="shared" si="8"/>
        <v>22.271288651364824</v>
      </c>
      <c r="Y38" s="64"/>
    </row>
    <row r="39" spans="1:25">
      <c r="A39" s="108">
        <f t="shared" si="9"/>
        <v>2052</v>
      </c>
      <c r="B39" s="196">
        <f>Revenue!Q40</f>
        <v>502.49720098419101</v>
      </c>
      <c r="C39" s="196">
        <f>Operations!M48+Abandonment!G45</f>
        <v>340.82201916651775</v>
      </c>
      <c r="D39" s="196">
        <f>Development!BL121</f>
        <v>0</v>
      </c>
      <c r="E39" s="196">
        <f>IF($A39&lt;Production!$B$4,0,IF($A39=Production!$B$4,SUM(D$9:D39),D39))</f>
        <v>0</v>
      </c>
      <c r="F39" s="196">
        <f t="shared" si="6"/>
        <v>16.199628357135047</v>
      </c>
      <c r="G39" s="196">
        <f>F39*IF(A39=Abandonment!$B$4,1,G$5)</f>
        <v>4.0499070892837619</v>
      </c>
      <c r="H39" s="196">
        <f>Development!BM121</f>
        <v>0</v>
      </c>
      <c r="I39" s="196">
        <f>IF($A39&lt;Production!$B$4,0,IF($A39=Production!$B$4,SUM(H$9:H39),H39))</f>
        <v>0</v>
      </c>
      <c r="J39" s="196">
        <f t="shared" si="1"/>
        <v>0</v>
      </c>
      <c r="K39" s="196">
        <f>J39*IF(Abandonment!$B$4='Federal Tax'!A40,1,K$5)</f>
        <v>0</v>
      </c>
      <c r="L39" s="196">
        <f t="shared" si="2"/>
        <v>157.62527472838951</v>
      </c>
      <c r="M39" s="196">
        <f>Royalty!AM41</f>
        <v>44.657542965357514</v>
      </c>
      <c r="N39" s="196">
        <f>Development!BK121</f>
        <v>0</v>
      </c>
      <c r="O39" s="196">
        <f t="shared" si="7"/>
        <v>1.0109794205117046</v>
      </c>
      <c r="P39" s="196">
        <f>O39*IF(A39=Abandonment!$B$4,1,P$5)</f>
        <v>0.30329382615351136</v>
      </c>
      <c r="Q39" s="196">
        <f>Exploration!Z66</f>
        <v>0</v>
      </c>
      <c r="R39" s="196">
        <f t="shared" si="3"/>
        <v>112.66443793687849</v>
      </c>
      <c r="S39" s="196">
        <f t="shared" si="4"/>
        <v>0</v>
      </c>
      <c r="T39" s="196">
        <f t="shared" si="10"/>
        <v>0</v>
      </c>
      <c r="U39" s="196">
        <f t="shared" si="5"/>
        <v>0</v>
      </c>
      <c r="V39" s="196">
        <f>IF(Input!$B$38="Yes",R39,MAX(0,R39+U38)+S39)</f>
        <v>112.66443793687849</v>
      </c>
      <c r="W39" s="197">
        <v>0.14000000000000001</v>
      </c>
      <c r="X39" s="196">
        <f t="shared" si="8"/>
        <v>15.773021311162989</v>
      </c>
      <c r="Y39" s="64"/>
    </row>
    <row r="40" spans="1:25">
      <c r="A40" s="108">
        <f t="shared" si="9"/>
        <v>2053</v>
      </c>
      <c r="B40" s="196">
        <f>Revenue!Q41</f>
        <v>438.63397622890432</v>
      </c>
      <c r="C40" s="196">
        <f>Operations!M49+Abandonment!G46</f>
        <v>345.52066459991596</v>
      </c>
      <c r="D40" s="196">
        <f>Development!BL122</f>
        <v>0</v>
      </c>
      <c r="E40" s="196">
        <f>IF($A40&lt;Production!$B$4,0,IF($A40=Production!$B$4,SUM(D$9:D40),D40))</f>
        <v>0</v>
      </c>
      <c r="F40" s="196">
        <f t="shared" si="6"/>
        <v>12.149721267851286</v>
      </c>
      <c r="G40" s="196">
        <f>F40*IF(A40=Abandonment!$B$4,1,G$5)</f>
        <v>3.0374303169628214</v>
      </c>
      <c r="H40" s="196">
        <f>Development!BM122</f>
        <v>0</v>
      </c>
      <c r="I40" s="196">
        <f>IF($A40&lt;Production!$B$4,0,IF($A40=Production!$B$4,SUM(H$9:H40),H40))</f>
        <v>0</v>
      </c>
      <c r="J40" s="196">
        <f t="shared" si="1"/>
        <v>0</v>
      </c>
      <c r="K40" s="196">
        <f>J40*IF(Abandonment!$B$4='Federal Tax'!A41,1,K$5)</f>
        <v>0</v>
      </c>
      <c r="L40" s="196">
        <f t="shared" si="2"/>
        <v>90.07588131202553</v>
      </c>
      <c r="M40" s="196">
        <f>Royalty!AM42</f>
        <v>21.931698811445216</v>
      </c>
      <c r="N40" s="196">
        <f>Development!BK122</f>
        <v>0</v>
      </c>
      <c r="O40" s="196">
        <f t="shared" si="7"/>
        <v>0.70768559435819323</v>
      </c>
      <c r="P40" s="196">
        <f>O40*IF(A40=Abandonment!$B$4,1,P$5)</f>
        <v>0.21230567830745797</v>
      </c>
      <c r="Q40" s="196">
        <f>Exploration!Z67</f>
        <v>0</v>
      </c>
      <c r="R40" s="196">
        <f t="shared" si="3"/>
        <v>67.931876822272855</v>
      </c>
      <c r="S40" s="196">
        <f t="shared" si="4"/>
        <v>0</v>
      </c>
      <c r="T40" s="196">
        <f t="shared" si="10"/>
        <v>0</v>
      </c>
      <c r="U40" s="196">
        <f t="shared" si="5"/>
        <v>0</v>
      </c>
      <c r="V40" s="196">
        <f>IF(Input!$B$38="Yes",R40,MAX(0,R40+U39)+S40)</f>
        <v>67.931876822272855</v>
      </c>
      <c r="W40" s="197">
        <v>0.14000000000000001</v>
      </c>
      <c r="X40" s="196">
        <f t="shared" si="8"/>
        <v>9.5104627551182013</v>
      </c>
      <c r="Y40" s="64"/>
    </row>
    <row r="41" spans="1:25">
      <c r="A41" s="108">
        <f t="shared" si="9"/>
        <v>2054</v>
      </c>
      <c r="B41" s="196">
        <f>Revenue!Q42</f>
        <v>384.02404618840427</v>
      </c>
      <c r="C41" s="196">
        <f>Operations!M50+Abandonment!G47</f>
        <v>351.09155474954565</v>
      </c>
      <c r="D41" s="196">
        <f>Development!BL123</f>
        <v>0</v>
      </c>
      <c r="E41" s="196">
        <f>IF($A41&lt;Production!$B$4,0,IF($A41=Production!$B$4,SUM(D$9:D41),D41))</f>
        <v>0</v>
      </c>
      <c r="F41" s="196">
        <f t="shared" si="6"/>
        <v>9.1122909508884646</v>
      </c>
      <c r="G41" s="196">
        <f>F41*IF(A41=Abandonment!$B$4,1,G$5)</f>
        <v>2.2780727377221162</v>
      </c>
      <c r="H41" s="196">
        <f>Development!BM123</f>
        <v>0</v>
      </c>
      <c r="I41" s="196">
        <f>IF($A41&lt;Production!$B$4,0,IF($A41=Production!$B$4,SUM(H$9:H41),H41))</f>
        <v>0</v>
      </c>
      <c r="J41" s="196">
        <f t="shared" si="1"/>
        <v>0</v>
      </c>
      <c r="K41" s="196">
        <f>J41*IF(Abandonment!$B$4='Federal Tax'!A42,1,K$5)</f>
        <v>0</v>
      </c>
      <c r="L41" s="196">
        <f t="shared" si="2"/>
        <v>30.654418701136503</v>
      </c>
      <c r="M41" s="196">
        <f>Royalty!AM43</f>
        <v>19.201202309420214</v>
      </c>
      <c r="N41" s="196">
        <f>Development!BK123</f>
        <v>0</v>
      </c>
      <c r="O41" s="196">
        <f t="shared" si="7"/>
        <v>0.49537991605073528</v>
      </c>
      <c r="P41" s="196">
        <f>O41*IF(A41=Abandonment!$B$4,1,P$5)</f>
        <v>0.14861397481522057</v>
      </c>
      <c r="Q41" s="196">
        <f>Exploration!Z68</f>
        <v>0</v>
      </c>
      <c r="R41" s="196">
        <f t="shared" si="3"/>
        <v>11.304602416901069</v>
      </c>
      <c r="S41" s="196">
        <f t="shared" si="4"/>
        <v>0</v>
      </c>
      <c r="T41" s="196">
        <f t="shared" si="10"/>
        <v>0</v>
      </c>
      <c r="U41" s="196">
        <f t="shared" si="5"/>
        <v>0</v>
      </c>
      <c r="V41" s="196">
        <f>IF(Input!$B$38="Yes",R41,MAX(0,R41+U40)+S41)</f>
        <v>11.304602416901069</v>
      </c>
      <c r="W41" s="197">
        <v>0.14000000000000001</v>
      </c>
      <c r="X41" s="196">
        <f t="shared" si="8"/>
        <v>1.5826443383661499</v>
      </c>
      <c r="Y41" s="64"/>
    </row>
    <row r="42" spans="1:25">
      <c r="A42" s="108">
        <f t="shared" si="9"/>
        <v>2055</v>
      </c>
      <c r="B42" s="196">
        <f>Revenue!Q43</f>
        <v>0</v>
      </c>
      <c r="C42" s="196">
        <f>Operations!M51+Abandonment!G48</f>
        <v>529.6306607920867</v>
      </c>
      <c r="D42" s="196">
        <f>Development!BL124</f>
        <v>0</v>
      </c>
      <c r="E42" s="196">
        <f>IF($A42&lt;Production!$B$4,0,IF($A42=Production!$B$4,SUM(D$9:D42),D42))</f>
        <v>0</v>
      </c>
      <c r="F42" s="196">
        <f t="shared" si="6"/>
        <v>6.8342182131663485</v>
      </c>
      <c r="G42" s="196">
        <f>F42*IF(A42=Abandonment!$B$4,1,G$5)</f>
        <v>6.8342182131663485</v>
      </c>
      <c r="H42" s="196">
        <f>Development!BM124</f>
        <v>0</v>
      </c>
      <c r="I42" s="196">
        <f>IF($A42&lt;Production!$B$4,0,IF($A42=Production!$B$4,SUM(H$9:H42),H42))</f>
        <v>0</v>
      </c>
      <c r="J42" s="196">
        <f t="shared" si="1"/>
        <v>0</v>
      </c>
      <c r="K42" s="196">
        <f>J42*IF(Abandonment!$B$4='Federal Tax'!A43,1,K$5)</f>
        <v>0</v>
      </c>
      <c r="L42" s="196">
        <f t="shared" si="2"/>
        <v>-536.46487900525301</v>
      </c>
      <c r="M42" s="196">
        <f>Royalty!AM44</f>
        <v>-111.12391802903301</v>
      </c>
      <c r="N42" s="196">
        <f>Development!BK124</f>
        <v>0</v>
      </c>
      <c r="O42" s="196">
        <f t="shared" si="7"/>
        <v>0.34676594123551474</v>
      </c>
      <c r="P42" s="196">
        <f>O42*IF(A42=Abandonment!$B$4,1,P$5)</f>
        <v>0.34676594123551474</v>
      </c>
      <c r="Q42" s="196">
        <f>Exploration!Z69</f>
        <v>0</v>
      </c>
      <c r="R42" s="196">
        <f t="shared" si="3"/>
        <v>-425.68772691745551</v>
      </c>
      <c r="S42" s="196">
        <f t="shared" si="4"/>
        <v>-191.90091717605242</v>
      </c>
      <c r="T42" s="196">
        <f t="shared" si="10"/>
        <v>-79.236479239173931</v>
      </c>
      <c r="U42" s="196">
        <f t="shared" si="5"/>
        <v>-233.78680974140309</v>
      </c>
      <c r="V42" s="196">
        <f>IF(Input!$B$38="Yes",R42,MAX(0,R42+U41)+S42)</f>
        <v>-191.90091717605242</v>
      </c>
      <c r="W42" s="197">
        <v>0.14000000000000001</v>
      </c>
      <c r="X42" s="196">
        <f t="shared" si="8"/>
        <v>-26.866128404647341</v>
      </c>
      <c r="Y42" s="64"/>
    </row>
    <row r="43" spans="1:25">
      <c r="A43" s="108">
        <f t="shared" si="9"/>
        <v>2056</v>
      </c>
      <c r="B43" s="196">
        <f>Revenue!Q44</f>
        <v>0</v>
      </c>
      <c r="C43" s="196">
        <f>Operations!M52+Abandonment!G49</f>
        <v>0</v>
      </c>
      <c r="D43" s="196">
        <f>Development!BL125</f>
        <v>0</v>
      </c>
      <c r="E43" s="196">
        <f>IF($A43&lt;Production!$B$4,0,IF($A43=Production!$B$4,SUM(D$9:D43),D43))</f>
        <v>0</v>
      </c>
      <c r="F43" s="196">
        <f t="shared" si="6"/>
        <v>0</v>
      </c>
      <c r="G43" s="196">
        <f>F43*IF(A43=Abandonment!$B$4,1,G$5)</f>
        <v>0</v>
      </c>
      <c r="H43" s="196">
        <f>Development!BM125</f>
        <v>0</v>
      </c>
      <c r="I43" s="196">
        <f>IF($A43&lt;Production!$B$4,0,IF($A43=Production!$B$4,SUM(H$9:H43),H43))</f>
        <v>0</v>
      </c>
      <c r="J43" s="196">
        <f t="shared" si="1"/>
        <v>0</v>
      </c>
      <c r="K43" s="196">
        <f>J43*IF(Abandonment!$B$4='Federal Tax'!A44,1,K$5)</f>
        <v>0</v>
      </c>
      <c r="L43" s="196">
        <f t="shared" si="2"/>
        <v>0</v>
      </c>
      <c r="M43" s="196">
        <f>Royalty!AM45</f>
        <v>0</v>
      </c>
      <c r="N43" s="196">
        <f>Development!BK125</f>
        <v>0</v>
      </c>
      <c r="O43" s="196">
        <f t="shared" si="7"/>
        <v>0</v>
      </c>
      <c r="P43" s="196">
        <f>O43*IF(A43=Abandonment!$B$4,1,P$5)</f>
        <v>0</v>
      </c>
      <c r="Q43" s="196">
        <f>Exploration!Z70</f>
        <v>0</v>
      </c>
      <c r="R43" s="196">
        <f t="shared" si="3"/>
        <v>0</v>
      </c>
      <c r="S43" s="196">
        <f t="shared" si="4"/>
        <v>0</v>
      </c>
      <c r="T43" s="196">
        <f t="shared" si="10"/>
        <v>-11.304602416901076</v>
      </c>
      <c r="U43" s="196">
        <f t="shared" si="5"/>
        <v>-233.78680974140309</v>
      </c>
      <c r="V43" s="196">
        <f>IF(Input!$B$38="Yes",R43,MAX(0,R43+U42)+S43)</f>
        <v>0</v>
      </c>
      <c r="W43" s="197">
        <v>0.14000000000000001</v>
      </c>
      <c r="X43" s="196">
        <f t="shared" si="8"/>
        <v>0</v>
      </c>
      <c r="Y43" s="64"/>
    </row>
    <row r="44" spans="1:25">
      <c r="A44" s="108">
        <f t="shared" si="9"/>
        <v>2057</v>
      </c>
      <c r="B44" s="196">
        <f>Revenue!Q45</f>
        <v>0</v>
      </c>
      <c r="C44" s="196">
        <f>Operations!M53+Abandonment!G50</f>
        <v>0</v>
      </c>
      <c r="D44" s="196">
        <f>Development!BL126</f>
        <v>0</v>
      </c>
      <c r="E44" s="196">
        <f>IF($A44&lt;Production!$B$4,0,IF($A44=Production!$B$4,SUM(D$9:D44),D44))</f>
        <v>0</v>
      </c>
      <c r="F44" s="196">
        <f t="shared" si="6"/>
        <v>0</v>
      </c>
      <c r="G44" s="196">
        <f>F44*IF(A44=Abandonment!$B$4,1,G$5)</f>
        <v>0</v>
      </c>
      <c r="H44" s="196">
        <f>Development!BM126</f>
        <v>0</v>
      </c>
      <c r="I44" s="196">
        <f>IF($A44&lt;Production!$B$4,0,IF($A44=Production!$B$4,SUM(H$9:H44),H44))</f>
        <v>0</v>
      </c>
      <c r="J44" s="196">
        <f t="shared" si="1"/>
        <v>0</v>
      </c>
      <c r="K44" s="196">
        <f>J44*IF(Abandonment!$B$4='Federal Tax'!A45,1,K$5)</f>
        <v>0</v>
      </c>
      <c r="L44" s="196">
        <f t="shared" si="2"/>
        <v>0</v>
      </c>
      <c r="M44" s="196">
        <f>Royalty!AM46</f>
        <v>0</v>
      </c>
      <c r="N44" s="196">
        <f>Development!BK126</f>
        <v>0</v>
      </c>
      <c r="O44" s="196">
        <f t="shared" si="7"/>
        <v>0</v>
      </c>
      <c r="P44" s="196">
        <f>O44*IF(A44=Abandonment!$B$4,1,P$5)</f>
        <v>0</v>
      </c>
      <c r="Q44" s="196">
        <f>Exploration!Z71</f>
        <v>0</v>
      </c>
      <c r="R44" s="196">
        <f t="shared" si="3"/>
        <v>0</v>
      </c>
      <c r="S44" s="196">
        <f t="shared" si="4"/>
        <v>0</v>
      </c>
      <c r="T44" s="196">
        <f t="shared" si="10"/>
        <v>-7.1054273576010019E-15</v>
      </c>
      <c r="U44" s="196">
        <f t="shared" si="5"/>
        <v>-233.78680974140309</v>
      </c>
      <c r="V44" s="196">
        <f>IF(Input!$B$38="Yes",R44,MAX(0,R44+U43)+S44)</f>
        <v>0</v>
      </c>
      <c r="W44" s="197">
        <v>0.14000000000000001</v>
      </c>
      <c r="X44" s="196">
        <f t="shared" si="8"/>
        <v>0</v>
      </c>
      <c r="Y44" s="64"/>
    </row>
    <row r="45" spans="1:25">
      <c r="A45" s="108">
        <f t="shared" si="9"/>
        <v>2058</v>
      </c>
      <c r="B45" s="196">
        <f>Revenue!Q46</f>
        <v>0</v>
      </c>
      <c r="C45" s="196">
        <f>Operations!M54+Abandonment!G51</f>
        <v>0</v>
      </c>
      <c r="D45" s="196">
        <f>Development!BL127</f>
        <v>0</v>
      </c>
      <c r="E45" s="196">
        <f>IF($A45&lt;Production!$B$4,0,IF($A45=Production!$B$4,SUM(D$9:D45),D45))</f>
        <v>0</v>
      </c>
      <c r="F45" s="196">
        <f t="shared" si="6"/>
        <v>0</v>
      </c>
      <c r="G45" s="196">
        <f>F45*IF(A45=Abandonment!$B$4,1,G$5)</f>
        <v>0</v>
      </c>
      <c r="H45" s="196">
        <f>Development!BM127</f>
        <v>0</v>
      </c>
      <c r="I45" s="196">
        <f>IF($A45&lt;Production!$B$4,0,IF($A45=Production!$B$4,SUM(H$9:H45),H45))</f>
        <v>0</v>
      </c>
      <c r="J45" s="196">
        <f t="shared" si="1"/>
        <v>0</v>
      </c>
      <c r="K45" s="196">
        <f>J45*IF(Abandonment!$B$4='Federal Tax'!A46,1,K$5)</f>
        <v>0</v>
      </c>
      <c r="L45" s="196">
        <f t="shared" si="2"/>
        <v>0</v>
      </c>
      <c r="M45" s="196">
        <f>Royalty!AM47</f>
        <v>0</v>
      </c>
      <c r="N45" s="196">
        <f>Development!BK127</f>
        <v>0</v>
      </c>
      <c r="O45" s="196">
        <f t="shared" si="7"/>
        <v>0</v>
      </c>
      <c r="P45" s="196">
        <f>O45*IF(A45=Abandonment!$B$4,1,P$5)</f>
        <v>0</v>
      </c>
      <c r="Q45" s="196">
        <f>Exploration!Z72</f>
        <v>0</v>
      </c>
      <c r="R45" s="196">
        <f t="shared" si="3"/>
        <v>0</v>
      </c>
      <c r="S45" s="196">
        <f t="shared" si="4"/>
        <v>0</v>
      </c>
      <c r="T45" s="196">
        <f t="shared" si="10"/>
        <v>-7.1054273576010019E-15</v>
      </c>
      <c r="U45" s="196">
        <f t="shared" si="5"/>
        <v>-233.78680974140309</v>
      </c>
      <c r="V45" s="196">
        <f>IF(Input!$B$38="Yes",R45,MAX(0,R45+U44)+S45)</f>
        <v>0</v>
      </c>
      <c r="W45" s="197">
        <v>0.14000000000000001</v>
      </c>
      <c r="X45" s="196">
        <f t="shared" si="8"/>
        <v>0</v>
      </c>
      <c r="Y45" s="64"/>
    </row>
    <row r="46" spans="1:25">
      <c r="A46" s="108">
        <f t="shared" si="9"/>
        <v>2059</v>
      </c>
      <c r="B46" s="196">
        <f>Revenue!Q47</f>
        <v>0</v>
      </c>
      <c r="C46" s="196">
        <f>Operations!M55+Abandonment!G52</f>
        <v>0</v>
      </c>
      <c r="D46" s="196">
        <f>Development!BL128</f>
        <v>0</v>
      </c>
      <c r="E46" s="196">
        <f>IF($A46&lt;Production!$B$4,0,IF($A46=Production!$B$4,SUM(D$9:D46),D46))</f>
        <v>0</v>
      </c>
      <c r="F46" s="196">
        <f t="shared" si="6"/>
        <v>0</v>
      </c>
      <c r="G46" s="196">
        <f>F46*IF(A46=Abandonment!$B$4,1,G$5)</f>
        <v>0</v>
      </c>
      <c r="H46" s="196">
        <f>Development!BM128</f>
        <v>0</v>
      </c>
      <c r="I46" s="196">
        <f>IF($A46&lt;Production!$B$4,0,IF($A46=Production!$B$4,SUM(H$9:H46),H46))</f>
        <v>0</v>
      </c>
      <c r="J46" s="196">
        <f t="shared" si="1"/>
        <v>0</v>
      </c>
      <c r="K46" s="196">
        <f>J46*IF(Abandonment!$B$4='Federal Tax'!A47,1,K$5)</f>
        <v>0</v>
      </c>
      <c r="L46" s="196">
        <f t="shared" si="2"/>
        <v>0</v>
      </c>
      <c r="M46" s="196">
        <f>Royalty!AM48</f>
        <v>0</v>
      </c>
      <c r="N46" s="196">
        <f>Development!BK128</f>
        <v>0</v>
      </c>
      <c r="O46" s="196">
        <f t="shared" si="7"/>
        <v>0</v>
      </c>
      <c r="P46" s="196">
        <f>O46*IF(A46=Abandonment!$B$4,1,P$5)</f>
        <v>0</v>
      </c>
      <c r="Q46" s="196">
        <f>Exploration!Z73</f>
        <v>0</v>
      </c>
      <c r="R46" s="196">
        <f t="shared" si="3"/>
        <v>0</v>
      </c>
      <c r="S46" s="196">
        <f t="shared" si="4"/>
        <v>0</v>
      </c>
      <c r="T46" s="196">
        <f t="shared" si="10"/>
        <v>-7.1054273576010019E-15</v>
      </c>
      <c r="U46" s="196">
        <f t="shared" si="5"/>
        <v>-233.78680974140309</v>
      </c>
      <c r="V46" s="196">
        <f>IF(Input!$B$38="Yes",R46,MAX(0,R46+U45)+S46)</f>
        <v>0</v>
      </c>
      <c r="W46" s="197">
        <v>0.14000000000000001</v>
      </c>
      <c r="X46" s="196">
        <f t="shared" si="8"/>
        <v>0</v>
      </c>
      <c r="Y46" s="64"/>
    </row>
    <row r="47" spans="1:25">
      <c r="A47" s="108">
        <f t="shared" si="9"/>
        <v>2060</v>
      </c>
      <c r="B47" s="196">
        <f>Revenue!Q48</f>
        <v>0</v>
      </c>
      <c r="C47" s="196">
        <f>Operations!M56+Abandonment!G53</f>
        <v>0</v>
      </c>
      <c r="D47" s="196">
        <f>Development!BL129</f>
        <v>0</v>
      </c>
      <c r="E47" s="196">
        <f>IF($A47&lt;Production!$B$4,0,IF($A47=Production!$B$4,SUM(D$9:D47),D47))</f>
        <v>0</v>
      </c>
      <c r="F47" s="196">
        <f t="shared" si="6"/>
        <v>0</v>
      </c>
      <c r="G47" s="196">
        <f>F47*IF(A47=Abandonment!$B$4,1,G$5)</f>
        <v>0</v>
      </c>
      <c r="H47" s="196">
        <f>Development!BM129</f>
        <v>0</v>
      </c>
      <c r="I47" s="196">
        <f>IF($A47&lt;Production!$B$4,0,IF($A47=Production!$B$4,SUM(H$9:H47),H47))</f>
        <v>0</v>
      </c>
      <c r="J47" s="196">
        <f t="shared" si="1"/>
        <v>0</v>
      </c>
      <c r="K47" s="196">
        <f>J47*IF(Abandonment!$B$4='Federal Tax'!A48,1,K$5)</f>
        <v>0</v>
      </c>
      <c r="L47" s="196">
        <f t="shared" si="2"/>
        <v>0</v>
      </c>
      <c r="M47" s="196">
        <f>Royalty!AM49</f>
        <v>0</v>
      </c>
      <c r="N47" s="196">
        <f>Development!BK129</f>
        <v>0</v>
      </c>
      <c r="O47" s="196">
        <f t="shared" si="7"/>
        <v>0</v>
      </c>
      <c r="P47" s="196">
        <f>O47*IF(A47=Abandonment!$B$4,1,P$5)</f>
        <v>0</v>
      </c>
      <c r="Q47" s="196">
        <f>Exploration!Z74</f>
        <v>0</v>
      </c>
      <c r="R47" s="196">
        <f t="shared" si="3"/>
        <v>0</v>
      </c>
      <c r="S47" s="196">
        <f t="shared" si="4"/>
        <v>0</v>
      </c>
      <c r="T47" s="196">
        <f t="shared" si="10"/>
        <v>-7.1054273576010019E-15</v>
      </c>
      <c r="U47" s="196">
        <f t="shared" si="5"/>
        <v>-233.78680974140309</v>
      </c>
      <c r="V47" s="196">
        <f>IF(Input!$B$38="Yes",R47,MAX(0,R47+U46)+S47)</f>
        <v>0</v>
      </c>
      <c r="W47" s="197">
        <v>0.14000000000000001</v>
      </c>
      <c r="X47" s="196">
        <f t="shared" si="8"/>
        <v>0</v>
      </c>
      <c r="Y47" s="64"/>
    </row>
    <row r="48" spans="1:25">
      <c r="A48" s="108">
        <f t="shared" si="9"/>
        <v>2061</v>
      </c>
      <c r="B48" s="196">
        <f>Revenue!Q49</f>
        <v>0</v>
      </c>
      <c r="C48" s="196">
        <f>Operations!M57+Abandonment!G54</f>
        <v>0</v>
      </c>
      <c r="D48" s="196">
        <f>Development!BL130</f>
        <v>0</v>
      </c>
      <c r="E48" s="196">
        <f>IF($A48&lt;Production!$B$4,0,IF($A48=Production!$B$4,SUM(D$9:D48),D48))</f>
        <v>0</v>
      </c>
      <c r="F48" s="196">
        <f t="shared" si="6"/>
        <v>0</v>
      </c>
      <c r="G48" s="196">
        <f>F48*IF(A48=Abandonment!$B$4,1,G$5)</f>
        <v>0</v>
      </c>
      <c r="H48" s="196">
        <f>Development!BM130</f>
        <v>0</v>
      </c>
      <c r="I48" s="196">
        <f>IF($A48&lt;Production!$B$4,0,IF($A48=Production!$B$4,SUM(H$9:H48),H48))</f>
        <v>0</v>
      </c>
      <c r="J48" s="196">
        <f t="shared" si="1"/>
        <v>0</v>
      </c>
      <c r="K48" s="196">
        <f>J48*IF(Abandonment!$B$4='Federal Tax'!A49,1,K$5)</f>
        <v>0</v>
      </c>
      <c r="L48" s="196">
        <f t="shared" si="2"/>
        <v>0</v>
      </c>
      <c r="M48" s="196">
        <f>Royalty!AM50</f>
        <v>0</v>
      </c>
      <c r="N48" s="196">
        <f>Development!BK130</f>
        <v>0</v>
      </c>
      <c r="O48" s="196">
        <f t="shared" si="7"/>
        <v>0</v>
      </c>
      <c r="P48" s="196">
        <f>O48*IF(A48=Abandonment!$B$4,1,P$5)</f>
        <v>0</v>
      </c>
      <c r="Q48" s="196">
        <f>Exploration!Z75</f>
        <v>0</v>
      </c>
      <c r="R48" s="196">
        <f t="shared" si="3"/>
        <v>0</v>
      </c>
      <c r="S48" s="196">
        <f t="shared" si="4"/>
        <v>0</v>
      </c>
      <c r="T48" s="196">
        <f t="shared" si="10"/>
        <v>-7.1054273576010019E-15</v>
      </c>
      <c r="U48" s="196">
        <f t="shared" si="5"/>
        <v>-233.78680974140309</v>
      </c>
      <c r="V48" s="196">
        <f>IF(Input!$B$38="Yes",R48,MAX(0,R48+U47)+S48)</f>
        <v>0</v>
      </c>
      <c r="W48" s="197">
        <v>0.14000000000000001</v>
      </c>
      <c r="X48" s="196">
        <f t="shared" si="8"/>
        <v>0</v>
      </c>
      <c r="Y48" s="64"/>
    </row>
    <row r="49" spans="1:25">
      <c r="A49" s="110">
        <f t="shared" si="9"/>
        <v>2062</v>
      </c>
      <c r="B49" s="198">
        <f>Revenue!Q50</f>
        <v>0</v>
      </c>
      <c r="C49" s="198">
        <f>Operations!M58+Abandonment!G55</f>
        <v>0</v>
      </c>
      <c r="D49" s="198">
        <f>Development!BL131</f>
        <v>0</v>
      </c>
      <c r="E49" s="198">
        <f>IF($A49&lt;Production!$B$4,0,IF($A49=Production!$B$4,SUM(D$9:D49),D49))</f>
        <v>0</v>
      </c>
      <c r="F49" s="198">
        <f t="shared" si="6"/>
        <v>0</v>
      </c>
      <c r="G49" s="198">
        <f>F49*IF(A49=Abandonment!$B$4,1,G$5)</f>
        <v>0</v>
      </c>
      <c r="H49" s="198">
        <f>Development!BM131</f>
        <v>0</v>
      </c>
      <c r="I49" s="198">
        <f>IF($A49&lt;Production!$B$4,0,IF($A49=Production!$B$4,SUM(H$9:H49),H49))</f>
        <v>0</v>
      </c>
      <c r="J49" s="198">
        <f t="shared" si="1"/>
        <v>0</v>
      </c>
      <c r="K49" s="198">
        <f>J49*IF(Abandonment!$B$4='Federal Tax'!A50,1,K$5)</f>
        <v>0</v>
      </c>
      <c r="L49" s="198">
        <f t="shared" si="2"/>
        <v>0</v>
      </c>
      <c r="M49" s="198">
        <f>Royalty!AM51</f>
        <v>0</v>
      </c>
      <c r="N49" s="198">
        <f>Development!BK131</f>
        <v>0</v>
      </c>
      <c r="O49" s="198">
        <f t="shared" si="7"/>
        <v>0</v>
      </c>
      <c r="P49" s="198">
        <f>O49*IF(A49=Abandonment!$B$4,1,P$5)</f>
        <v>0</v>
      </c>
      <c r="Q49" s="198">
        <f>Exploration!Z76</f>
        <v>0</v>
      </c>
      <c r="R49" s="198">
        <f t="shared" si="3"/>
        <v>0</v>
      </c>
      <c r="S49" s="198">
        <f t="shared" si="4"/>
        <v>0</v>
      </c>
      <c r="T49" s="198">
        <f t="shared" si="10"/>
        <v>-7.1054273576010019E-15</v>
      </c>
      <c r="U49" s="198">
        <f t="shared" si="5"/>
        <v>-233.78680974140309</v>
      </c>
      <c r="V49" s="198">
        <f>IF(Input!$B$38="Yes",R49,MAX(0,R49+U48)+S49)</f>
        <v>0</v>
      </c>
      <c r="W49" s="199">
        <v>0.14000000000000001</v>
      </c>
      <c r="X49" s="198">
        <f t="shared" si="8"/>
        <v>0</v>
      </c>
      <c r="Y49" s="64"/>
    </row>
  </sheetData>
  <sheetProtection algorithmName="SHA-512" hashValue="CtO7fKTxS5tkgGwwADxc9/FXhgiiYcallh4HxAy2ZwUN6x6SuUwb6G6smO4Ay1OYbAur2jDAdv9MzwS7O9j5Cw==" saltValue="kJb+Pgn0m/xL9GjJgrRZiA==" spinCount="100000" sheet="1" objects="1" scenarios="1"/>
  <hyperlinks>
    <hyperlink ref="F1" location="Guide" display="Guide" xr:uid="{00000000-0004-0000-1A00-000000000000}"/>
    <hyperlink ref="F2" location="Input" display="Input" xr:uid="{00000000-0004-0000-1A00-000001000000}"/>
  </hyperlinks>
  <pageMargins left="0.7" right="0.7" top="0.75" bottom="0.75" header="0.3" footer="0.3"/>
  <pageSetup paperSize="9" scale="36" fitToHeight="0" orientation="landscape" r:id="rId1"/>
  <headerFooter>
    <oddFooter>&amp;LNova Scotia Exploration Economics Model&amp;Rwww.indeva.com</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8">
    <tabColor theme="3" tint="0.79998168889431442"/>
    <pageSetUpPr fitToPage="1"/>
  </sheetPr>
  <dimension ref="A1:CC64"/>
  <sheetViews>
    <sheetView showGridLines="0" showRowColHeaders="0" showZeros="0" zoomScale="75" zoomScaleNormal="75" workbookViewId="0">
      <pane xSplit="1" ySplit="9" topLeftCell="B10" activePane="bottomRight" state="frozen"/>
      <selection activeCell="D43" sqref="D43"/>
      <selection pane="topRight" activeCell="D43" sqref="D43"/>
      <selection pane="bottomLeft" activeCell="D43" sqref="D43"/>
      <selection pane="bottomRight"/>
    </sheetView>
  </sheetViews>
  <sheetFormatPr defaultRowHeight="15"/>
  <cols>
    <col min="1" max="1" width="21.140625" customWidth="1"/>
    <col min="2" max="2" width="11.28515625" customWidth="1"/>
    <col min="3" max="4" width="12.140625" customWidth="1"/>
    <col min="5" max="7" width="11.42578125" customWidth="1"/>
    <col min="8" max="8" width="10" customWidth="1"/>
    <col min="9" max="9" width="9.28515625" customWidth="1"/>
    <col min="10" max="10" width="10.28515625" customWidth="1"/>
    <col min="11" max="11" width="12" customWidth="1"/>
    <col min="12" max="12" width="13.85546875" bestFit="1" customWidth="1"/>
    <col min="13" max="13" width="11.7109375" customWidth="1"/>
    <col min="14" max="16" width="11.140625" customWidth="1"/>
    <col min="17" max="17" width="13.85546875" customWidth="1"/>
    <col min="18" max="21" width="13.7109375" customWidth="1"/>
    <col min="26" max="27" width="12.140625" customWidth="1"/>
    <col min="28" max="28" width="12.140625" bestFit="1" customWidth="1"/>
    <col min="32" max="32" width="10.42578125" bestFit="1" customWidth="1"/>
    <col min="33" max="33" width="10.5703125" bestFit="1" customWidth="1"/>
  </cols>
  <sheetData>
    <row r="1" spans="1:81" ht="18.75">
      <c r="A1" s="92" t="str">
        <f>Input!B10</f>
        <v>Prospect X</v>
      </c>
      <c r="B1" s="92" t="str">
        <f>"Success Case (Unrisked) "&amp;" Project Cash Flow ($Millions)"</f>
        <v>Success Case (Unrisked)  Project Cash Flow ($Millions)</v>
      </c>
      <c r="C1" s="64"/>
      <c r="D1" s="64"/>
      <c r="E1" s="64"/>
      <c r="F1" s="64"/>
      <c r="G1" s="64"/>
      <c r="H1" s="93" t="s">
        <v>756</v>
      </c>
      <c r="I1" s="64"/>
      <c r="J1" s="64"/>
      <c r="K1" s="64"/>
      <c r="L1" s="64"/>
      <c r="M1" s="64"/>
      <c r="N1" s="64"/>
      <c r="O1" s="64"/>
      <c r="P1" s="64"/>
      <c r="Q1" s="64"/>
      <c r="R1" s="64"/>
      <c r="S1" s="64"/>
      <c r="T1" s="64"/>
      <c r="U1" s="64"/>
      <c r="V1" s="64"/>
      <c r="W1" s="64"/>
      <c r="X1" s="64"/>
      <c r="Y1" s="64"/>
      <c r="Z1" s="64"/>
      <c r="AA1" s="64"/>
      <c r="AB1" s="120"/>
      <c r="AC1" s="64"/>
      <c r="AD1" s="64"/>
      <c r="AE1" s="64"/>
      <c r="AF1" s="64"/>
      <c r="AG1" s="64"/>
      <c r="AH1" s="64"/>
      <c r="AI1" s="64"/>
      <c r="AJ1" s="64"/>
      <c r="AK1" s="64"/>
      <c r="AL1" s="64"/>
      <c r="AM1" s="64"/>
      <c r="AN1" s="64"/>
      <c r="AO1" s="64"/>
      <c r="AP1" s="64"/>
      <c r="AQ1" s="64"/>
      <c r="AR1" s="64"/>
      <c r="AS1" s="64"/>
      <c r="AT1" s="64"/>
      <c r="AU1" s="64"/>
      <c r="AV1" s="64"/>
      <c r="AW1" s="64"/>
      <c r="AX1" s="64"/>
      <c r="AY1" s="64"/>
      <c r="AZ1" s="64"/>
      <c r="BA1" s="64"/>
      <c r="BB1" s="64"/>
      <c r="BC1" s="64"/>
      <c r="BD1" s="64"/>
      <c r="BE1" s="64"/>
      <c r="BF1" s="64"/>
      <c r="BG1" s="64"/>
      <c r="BH1" s="64"/>
      <c r="BI1" s="64"/>
      <c r="BJ1" s="64"/>
      <c r="BK1" s="64"/>
      <c r="BL1" s="64"/>
      <c r="BM1" s="64"/>
      <c r="BN1" s="64"/>
      <c r="BO1" s="64"/>
      <c r="BP1" s="64"/>
      <c r="BQ1" s="64"/>
      <c r="BR1" s="64"/>
      <c r="BS1" s="64"/>
      <c r="BT1" s="64"/>
      <c r="BU1" s="64"/>
      <c r="BV1" s="64"/>
      <c r="BW1" s="64"/>
      <c r="BX1" s="64"/>
      <c r="BY1" s="64"/>
      <c r="BZ1" s="64"/>
      <c r="CA1" s="64"/>
      <c r="CB1" s="64"/>
      <c r="CC1" s="64"/>
    </row>
    <row r="2" spans="1:81" ht="18.75">
      <c r="A2" s="64">
        <f>YEAR(Input!B12)</f>
        <v>2023</v>
      </c>
      <c r="B2" s="64"/>
      <c r="C2" s="64"/>
      <c r="D2" s="64"/>
      <c r="E2" s="64"/>
      <c r="F2" s="64"/>
      <c r="G2" s="64"/>
      <c r="H2" s="93" t="s">
        <v>139</v>
      </c>
      <c r="I2" s="64"/>
      <c r="J2" s="64"/>
      <c r="K2" s="64"/>
      <c r="L2" s="64"/>
      <c r="M2" s="64"/>
      <c r="N2" s="64"/>
      <c r="O2" s="64"/>
      <c r="P2" s="64"/>
      <c r="Q2" s="64"/>
      <c r="R2" s="64"/>
      <c r="S2" s="64"/>
      <c r="T2" s="64"/>
      <c r="U2" s="64"/>
      <c r="V2" s="64"/>
      <c r="W2" s="64"/>
      <c r="X2" s="64"/>
      <c r="Y2" s="64"/>
      <c r="Z2" s="64"/>
      <c r="AA2" s="64"/>
      <c r="AB2" s="64"/>
      <c r="AC2" s="64"/>
      <c r="AD2" s="64"/>
      <c r="AE2" s="64"/>
      <c r="AF2" s="64"/>
      <c r="AG2" s="200"/>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row>
    <row r="3" spans="1:81">
      <c r="A3" s="64"/>
      <c r="B3" s="64"/>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200"/>
      <c r="AH3" s="64"/>
      <c r="AI3" s="64"/>
      <c r="AJ3" s="64"/>
      <c r="AK3" s="64"/>
      <c r="AL3" s="64"/>
      <c r="AM3" s="64"/>
      <c r="AN3" s="64"/>
      <c r="AO3" s="64"/>
      <c r="AP3" s="64"/>
      <c r="AQ3" s="64"/>
      <c r="AR3" s="64"/>
      <c r="AS3" s="64"/>
      <c r="AT3" s="64"/>
      <c r="AU3" s="64"/>
      <c r="AV3" s="64"/>
      <c r="AW3" s="64"/>
      <c r="AX3" s="64"/>
      <c r="AY3" s="64"/>
      <c r="AZ3" s="64"/>
      <c r="BA3" s="64"/>
      <c r="BB3" s="64"/>
      <c r="BC3" s="64"/>
      <c r="BD3" s="64"/>
      <c r="BE3" s="64"/>
      <c r="BF3" s="64"/>
      <c r="BG3" s="64"/>
      <c r="BH3" s="64"/>
      <c r="BI3" s="64"/>
      <c r="BJ3" s="64"/>
      <c r="BK3" s="64"/>
      <c r="BL3" s="64"/>
      <c r="BM3" s="64"/>
      <c r="BN3" s="64"/>
      <c r="BO3" s="64"/>
      <c r="BP3" s="64"/>
      <c r="BQ3" s="64"/>
      <c r="BR3" s="64"/>
      <c r="BS3" s="64"/>
      <c r="BT3" s="64"/>
      <c r="BU3" s="64"/>
      <c r="BV3" s="64"/>
      <c r="BW3" s="64"/>
      <c r="BX3" s="64"/>
      <c r="BY3" s="64"/>
      <c r="BZ3" s="64"/>
      <c r="CA3" s="64"/>
      <c r="CB3" s="64"/>
      <c r="CC3" s="64"/>
    </row>
    <row r="4" spans="1:81">
      <c r="A4" s="106" t="s">
        <v>14</v>
      </c>
      <c r="B4" s="89" t="s">
        <v>329</v>
      </c>
      <c r="C4" s="89" t="s">
        <v>635</v>
      </c>
      <c r="D4" s="89" t="s">
        <v>929</v>
      </c>
      <c r="E4" s="89" t="s">
        <v>13</v>
      </c>
      <c r="F4" s="201" t="s">
        <v>215</v>
      </c>
      <c r="G4" s="201" t="s">
        <v>1087</v>
      </c>
      <c r="H4" s="201" t="s">
        <v>17</v>
      </c>
      <c r="I4" s="201" t="s">
        <v>59</v>
      </c>
      <c r="J4" s="201" t="s">
        <v>18</v>
      </c>
      <c r="K4" s="89" t="s">
        <v>13</v>
      </c>
      <c r="L4" s="89" t="s">
        <v>135</v>
      </c>
      <c r="M4" s="201" t="s">
        <v>38</v>
      </c>
      <c r="N4" s="201" t="s">
        <v>399</v>
      </c>
      <c r="O4" s="201" t="s">
        <v>400</v>
      </c>
      <c r="P4" s="89" t="s">
        <v>13</v>
      </c>
      <c r="Q4" s="89" t="s">
        <v>135</v>
      </c>
      <c r="R4" s="115"/>
      <c r="S4" s="115"/>
      <c r="T4" s="89" t="s">
        <v>401</v>
      </c>
      <c r="U4" s="89" t="s">
        <v>402</v>
      </c>
      <c r="V4" s="64"/>
      <c r="W4" s="64"/>
      <c r="X4" s="64"/>
      <c r="Y4" s="64"/>
      <c r="Z4" s="115"/>
      <c r="AA4" s="115"/>
      <c r="AB4" s="115"/>
      <c r="AC4" s="64"/>
      <c r="AD4" s="64"/>
      <c r="AE4" s="64"/>
      <c r="AF4" s="64"/>
      <c r="AG4" s="64"/>
      <c r="AH4" s="64"/>
      <c r="AI4" s="64"/>
      <c r="AJ4" s="64"/>
      <c r="AK4" s="64"/>
      <c r="AL4" s="64"/>
      <c r="AM4" s="64"/>
      <c r="AN4" s="64"/>
      <c r="AO4" s="64"/>
      <c r="AP4" s="64"/>
      <c r="AQ4" s="64"/>
      <c r="AR4" s="64"/>
      <c r="AS4" s="64"/>
      <c r="AT4" s="64"/>
      <c r="AU4" s="64"/>
      <c r="AV4" s="64"/>
      <c r="AW4" s="64"/>
      <c r="AX4" s="64"/>
      <c r="AY4" s="64"/>
      <c r="AZ4" s="64"/>
      <c r="BA4" s="64"/>
      <c r="BB4" s="64"/>
      <c r="BC4" s="64"/>
      <c r="BD4" s="64"/>
      <c r="BE4" s="64"/>
      <c r="BF4" s="64"/>
      <c r="BG4" s="64"/>
      <c r="BH4" s="64"/>
      <c r="BI4" s="64"/>
      <c r="BJ4" s="64"/>
      <c r="BK4" s="64"/>
      <c r="BL4" s="64"/>
      <c r="BM4" s="64"/>
      <c r="BN4" s="64"/>
      <c r="BO4" s="64"/>
      <c r="BP4" s="64"/>
      <c r="BQ4" s="64"/>
      <c r="BR4" s="64"/>
      <c r="BS4" s="64"/>
      <c r="BT4" s="64"/>
      <c r="BU4" s="64"/>
      <c r="BV4" s="64"/>
      <c r="BW4" s="64"/>
      <c r="BX4" s="64"/>
      <c r="BY4" s="64"/>
      <c r="BZ4" s="64"/>
      <c r="CA4" s="64"/>
      <c r="CB4" s="64"/>
      <c r="CC4" s="64"/>
    </row>
    <row r="5" spans="1:81">
      <c r="A5" s="110"/>
      <c r="B5" s="97" t="s">
        <v>15</v>
      </c>
      <c r="C5" s="97" t="s">
        <v>15</v>
      </c>
      <c r="D5" s="97" t="s">
        <v>15</v>
      </c>
      <c r="E5" s="97" t="s">
        <v>15</v>
      </c>
      <c r="F5" s="97" t="s">
        <v>42</v>
      </c>
      <c r="G5" s="97" t="s">
        <v>1028</v>
      </c>
      <c r="H5" s="97" t="s">
        <v>41</v>
      </c>
      <c r="I5" s="97" t="s">
        <v>42</v>
      </c>
      <c r="J5" s="97" t="s">
        <v>42</v>
      </c>
      <c r="K5" s="97" t="s">
        <v>41</v>
      </c>
      <c r="L5" s="97" t="s">
        <v>403</v>
      </c>
      <c r="M5" s="97"/>
      <c r="N5" s="97" t="s">
        <v>404</v>
      </c>
      <c r="O5" s="97" t="s">
        <v>404</v>
      </c>
      <c r="P5" s="97" t="s">
        <v>405</v>
      </c>
      <c r="Q5" s="97" t="s">
        <v>406</v>
      </c>
      <c r="R5" s="115"/>
      <c r="S5" s="115"/>
      <c r="T5" s="97" t="s">
        <v>375</v>
      </c>
      <c r="U5" s="97" t="s">
        <v>407</v>
      </c>
      <c r="V5" s="64"/>
      <c r="W5" s="64"/>
      <c r="X5" s="64"/>
      <c r="Y5" s="64"/>
      <c r="Z5" s="115"/>
      <c r="AA5" s="115"/>
      <c r="AB5" s="115"/>
      <c r="AC5" s="64"/>
      <c r="AD5" s="64"/>
      <c r="AE5" s="64"/>
      <c r="AF5" s="64"/>
      <c r="AG5" s="64"/>
      <c r="AH5" s="64"/>
      <c r="AI5" s="64"/>
      <c r="AJ5" s="64"/>
      <c r="AK5" s="64"/>
      <c r="AL5" s="64"/>
      <c r="AM5" s="64"/>
      <c r="AN5" s="64"/>
      <c r="AO5" s="64"/>
      <c r="AP5" s="64"/>
      <c r="AQ5" s="64"/>
      <c r="AR5" s="64"/>
      <c r="AS5" s="64"/>
      <c r="AT5" s="64"/>
      <c r="AU5" s="64"/>
      <c r="AV5" s="64"/>
      <c r="AW5" s="64"/>
      <c r="AX5" s="64"/>
      <c r="AY5" s="64"/>
      <c r="AZ5" s="64"/>
      <c r="BA5" s="64"/>
      <c r="BB5" s="64"/>
      <c r="BC5" s="64"/>
      <c r="BD5" s="64"/>
      <c r="BE5" s="64"/>
      <c r="BF5" s="64"/>
      <c r="BG5" s="64"/>
      <c r="BH5" s="64"/>
      <c r="BI5" s="64"/>
      <c r="BJ5" s="64"/>
      <c r="BK5" s="64"/>
      <c r="BL5" s="64"/>
      <c r="BM5" s="64"/>
      <c r="BN5" s="64"/>
      <c r="BO5" s="64"/>
      <c r="BP5" s="64"/>
      <c r="BQ5" s="64"/>
      <c r="BR5" s="64"/>
      <c r="BS5" s="64"/>
      <c r="BT5" s="64"/>
      <c r="BU5" s="64"/>
      <c r="BV5" s="64"/>
      <c r="BW5" s="64"/>
      <c r="BX5" s="64"/>
      <c r="BY5" s="64"/>
      <c r="BZ5" s="64"/>
      <c r="CA5" s="64"/>
      <c r="CB5" s="64"/>
      <c r="CC5" s="64"/>
    </row>
    <row r="6" spans="1:81">
      <c r="A6" s="108"/>
      <c r="B6" s="89"/>
      <c r="C6" s="89"/>
      <c r="D6" s="89"/>
      <c r="E6" s="89"/>
      <c r="F6" s="89"/>
      <c r="G6" s="89"/>
      <c r="H6" s="89"/>
      <c r="I6" s="89"/>
      <c r="J6" s="89"/>
      <c r="K6" s="89"/>
      <c r="L6" s="89"/>
      <c r="M6" s="89"/>
      <c r="N6" s="89"/>
      <c r="O6" s="89"/>
      <c r="P6" s="89"/>
      <c r="Q6" s="89"/>
      <c r="R6" s="115"/>
      <c r="S6" s="115"/>
      <c r="T6" s="104"/>
      <c r="U6" s="124">
        <f>MAX(U10:U49)</f>
        <v>48920.363819130864</v>
      </c>
      <c r="V6" s="64"/>
      <c r="W6" s="64"/>
      <c r="X6" s="64"/>
      <c r="Y6" s="64"/>
      <c r="Z6" s="64"/>
      <c r="AA6" s="64"/>
      <c r="AB6" s="143"/>
      <c r="AC6" s="143"/>
      <c r="AD6" s="202"/>
      <c r="AE6" s="202"/>
      <c r="AF6" s="202"/>
      <c r="AG6" s="202"/>
      <c r="AH6" s="202"/>
      <c r="AI6" s="202"/>
      <c r="AJ6" s="202"/>
      <c r="AK6" s="202"/>
      <c r="AL6" s="202"/>
      <c r="AM6" s="202"/>
      <c r="AN6" s="202"/>
      <c r="AO6" s="202"/>
      <c r="AP6" s="202"/>
      <c r="AQ6" s="202"/>
      <c r="AR6" s="202"/>
      <c r="AS6" s="202"/>
      <c r="AT6" s="202"/>
      <c r="AU6" s="202"/>
      <c r="AV6" s="202"/>
      <c r="AW6" s="202"/>
      <c r="AX6" s="202"/>
      <c r="AY6" s="202"/>
      <c r="AZ6" s="202"/>
      <c r="BA6" s="202"/>
      <c r="BB6" s="202"/>
      <c r="BC6" s="202"/>
      <c r="BD6" s="202"/>
      <c r="BE6" s="202"/>
      <c r="BF6" s="202"/>
      <c r="BG6" s="202"/>
      <c r="BH6" s="202"/>
      <c r="BI6" s="202"/>
      <c r="BJ6" s="202"/>
      <c r="BK6" s="202"/>
      <c r="BL6" s="202"/>
      <c r="BM6" s="202"/>
      <c r="BN6" s="202"/>
      <c r="BO6" s="202"/>
      <c r="BP6" s="202"/>
      <c r="BQ6" s="202"/>
      <c r="BR6" s="202"/>
      <c r="BS6" s="202"/>
      <c r="BT6" s="202"/>
      <c r="BU6" s="202"/>
      <c r="BV6" s="202"/>
      <c r="BW6" s="202"/>
      <c r="BX6" s="202"/>
      <c r="BY6" s="202"/>
      <c r="BZ6" s="202"/>
      <c r="CA6" s="202"/>
      <c r="CB6" s="202"/>
      <c r="CC6" s="202"/>
    </row>
    <row r="7" spans="1:81">
      <c r="A7" s="85" t="s">
        <v>13</v>
      </c>
      <c r="B7" s="100">
        <f t="shared" ref="B7:Q7" si="0">SUM(B10:B50)</f>
        <v>4939.3814509244821</v>
      </c>
      <c r="C7" s="100">
        <f t="shared" si="0"/>
        <v>47281.531513781636</v>
      </c>
      <c r="D7" s="100">
        <f>SUM(D10:D50)</f>
        <v>0</v>
      </c>
      <c r="E7" s="191">
        <f t="shared" si="0"/>
        <v>52220.912964706127</v>
      </c>
      <c r="F7" s="191">
        <f t="shared" si="0"/>
        <v>449.22838039156284</v>
      </c>
      <c r="G7" s="191">
        <f t="shared" si="0"/>
        <v>0</v>
      </c>
      <c r="H7" s="191">
        <f t="shared" si="0"/>
        <v>7634.2299954532573</v>
      </c>
      <c r="I7" s="191">
        <f t="shared" si="0"/>
        <v>529.6306607920867</v>
      </c>
      <c r="J7" s="191">
        <f t="shared" si="0"/>
        <v>9345.785873417195</v>
      </c>
      <c r="K7" s="191">
        <f t="shared" si="0"/>
        <v>17958.874910054095</v>
      </c>
      <c r="L7" s="191">
        <f t="shared" si="0"/>
        <v>34262.038054652025</v>
      </c>
      <c r="M7" s="191">
        <f t="shared" si="0"/>
        <v>10322.711033597319</v>
      </c>
      <c r="N7" s="191">
        <f t="shared" si="0"/>
        <v>3384.235936311456</v>
      </c>
      <c r="O7" s="191">
        <f t="shared" si="0"/>
        <v>3664.101572523241</v>
      </c>
      <c r="P7" s="191">
        <f t="shared" si="0"/>
        <v>17371.04854243201</v>
      </c>
      <c r="Q7" s="191">
        <f t="shared" si="0"/>
        <v>16890.989512220011</v>
      </c>
      <c r="R7" s="203"/>
      <c r="S7" s="204"/>
      <c r="T7" s="196"/>
      <c r="U7" s="122"/>
      <c r="V7" s="64"/>
      <c r="W7" s="64"/>
      <c r="X7" s="64"/>
      <c r="Y7" s="64"/>
      <c r="Z7" s="122"/>
      <c r="AA7" s="122"/>
      <c r="AB7" s="200"/>
      <c r="AC7" s="200"/>
      <c r="AD7" s="200"/>
      <c r="AE7" s="200"/>
      <c r="AF7" s="200"/>
      <c r="AG7" s="200"/>
      <c r="AH7" s="200"/>
      <c r="AI7" s="200"/>
      <c r="AJ7" s="200"/>
      <c r="AK7" s="200"/>
      <c r="AL7" s="200"/>
      <c r="AM7" s="200"/>
      <c r="AN7" s="200"/>
      <c r="AO7" s="200"/>
      <c r="AP7" s="200"/>
      <c r="AQ7" s="200"/>
      <c r="AR7" s="200"/>
      <c r="AS7" s="200"/>
      <c r="AT7" s="200"/>
      <c r="AU7" s="200"/>
      <c r="AV7" s="200"/>
      <c r="AW7" s="200"/>
      <c r="AX7" s="200"/>
      <c r="AY7" s="200"/>
      <c r="AZ7" s="200"/>
      <c r="BA7" s="200"/>
      <c r="BB7" s="200"/>
      <c r="BC7" s="200"/>
      <c r="BD7" s="200"/>
      <c r="BE7" s="200"/>
      <c r="BF7" s="200"/>
      <c r="BG7" s="200"/>
      <c r="BH7" s="200"/>
      <c r="BI7" s="200"/>
      <c r="BJ7" s="200"/>
      <c r="BK7" s="200"/>
      <c r="BL7" s="200"/>
      <c r="BM7" s="200"/>
      <c r="BN7" s="200"/>
      <c r="BO7" s="200"/>
      <c r="BP7" s="200"/>
      <c r="BQ7" s="200"/>
      <c r="BR7" s="200"/>
      <c r="BS7" s="200"/>
      <c r="BT7" s="200"/>
      <c r="BU7" s="200"/>
      <c r="BV7" s="200"/>
      <c r="BW7" s="200"/>
      <c r="BX7" s="200"/>
      <c r="BY7" s="200"/>
      <c r="BZ7" s="200"/>
      <c r="CA7" s="200"/>
      <c r="CB7" s="200"/>
      <c r="CC7" s="200"/>
    </row>
    <row r="8" spans="1:81">
      <c r="A8" s="154"/>
      <c r="B8" s="478"/>
      <c r="C8" s="478"/>
      <c r="D8" s="478"/>
      <c r="E8" s="204">
        <f>SUMPRODUCT(E10:E50,$AB$10:$AB$50)</f>
        <v>0</v>
      </c>
      <c r="F8" s="196">
        <f>SUMPRODUCT(F10:F50,$AB$10:$AB$50)</f>
        <v>0</v>
      </c>
      <c r="G8" s="196"/>
      <c r="H8" s="196">
        <f t="shared" ref="H8:Q8" si="1">SUMPRODUCT(H10:H50,$AB$10:$AB$50)</f>
        <v>0</v>
      </c>
      <c r="I8" s="196">
        <f t="shared" si="1"/>
        <v>0</v>
      </c>
      <c r="J8" s="196">
        <f t="shared" si="1"/>
        <v>0</v>
      </c>
      <c r="K8" s="196">
        <f t="shared" si="1"/>
        <v>0</v>
      </c>
      <c r="L8" s="196">
        <f t="shared" si="1"/>
        <v>0</v>
      </c>
      <c r="M8" s="196">
        <f t="shared" si="1"/>
        <v>0</v>
      </c>
      <c r="N8" s="196">
        <f t="shared" si="1"/>
        <v>0</v>
      </c>
      <c r="O8" s="196">
        <f t="shared" si="1"/>
        <v>0</v>
      </c>
      <c r="P8" s="196">
        <f t="shared" si="1"/>
        <v>0</v>
      </c>
      <c r="Q8" s="196">
        <f t="shared" si="1"/>
        <v>0</v>
      </c>
      <c r="R8" s="203"/>
      <c r="S8" s="204"/>
      <c r="T8" s="196"/>
      <c r="U8" s="122"/>
      <c r="V8" s="121"/>
      <c r="W8" s="121"/>
      <c r="X8" s="121"/>
      <c r="Y8" s="121"/>
      <c r="Z8" s="122"/>
      <c r="AA8" s="122"/>
      <c r="AB8" s="64"/>
      <c r="AC8" s="64"/>
      <c r="AD8" s="64"/>
      <c r="AE8" s="64"/>
      <c r="AF8" s="64"/>
      <c r="AG8" s="64"/>
      <c r="AH8" s="64"/>
      <c r="AI8" s="64"/>
      <c r="AJ8" s="64"/>
      <c r="AK8" s="64"/>
      <c r="AL8" s="64"/>
      <c r="AM8" s="64"/>
      <c r="AN8" s="64"/>
      <c r="AO8" s="64"/>
      <c r="AP8" s="64"/>
      <c r="AQ8" s="64"/>
      <c r="AR8" s="64"/>
      <c r="AS8" s="64"/>
      <c r="AT8" s="64"/>
      <c r="AU8" s="64"/>
      <c r="AV8" s="64"/>
      <c r="AW8" s="64"/>
      <c r="AX8" s="64"/>
      <c r="AY8" s="64"/>
      <c r="AZ8" s="64"/>
      <c r="BA8" s="64"/>
      <c r="BB8" s="64"/>
      <c r="BC8" s="64"/>
      <c r="BD8" s="64"/>
      <c r="BE8" s="64"/>
      <c r="BF8" s="64"/>
      <c r="BG8" s="64"/>
      <c r="BH8" s="64"/>
      <c r="BI8" s="64"/>
      <c r="BJ8" s="64"/>
      <c r="BK8" s="64"/>
      <c r="BL8" s="64"/>
      <c r="BM8" s="64"/>
      <c r="BN8" s="64"/>
      <c r="BO8" s="64"/>
      <c r="BP8" s="64"/>
      <c r="BQ8" s="64"/>
      <c r="BR8" s="64"/>
      <c r="BS8" s="64"/>
      <c r="BT8" s="64"/>
      <c r="BU8" s="64"/>
      <c r="BV8" s="64"/>
      <c r="BW8" s="64"/>
      <c r="BX8" s="64"/>
      <c r="BY8" s="64"/>
      <c r="BZ8" s="64"/>
      <c r="CA8" s="64"/>
      <c r="CB8" s="64"/>
      <c r="CC8" s="64"/>
    </row>
    <row r="9" spans="1:81">
      <c r="A9" s="64"/>
      <c r="B9" s="105"/>
      <c r="C9" s="105"/>
      <c r="D9" s="105"/>
      <c r="E9" s="196"/>
      <c r="F9" s="196"/>
      <c r="G9" s="196"/>
      <c r="H9" s="196"/>
      <c r="I9" s="196"/>
      <c r="J9" s="196"/>
      <c r="K9" s="196"/>
      <c r="L9" s="196"/>
      <c r="M9" s="196"/>
      <c r="N9" s="196"/>
      <c r="O9" s="196"/>
      <c r="P9" s="196"/>
      <c r="Q9" s="196"/>
      <c r="R9" s="203"/>
      <c r="S9" s="204"/>
      <c r="T9" s="196">
        <f>-Exploration!V25</f>
        <v>0</v>
      </c>
      <c r="U9" s="121"/>
      <c r="V9" s="121"/>
      <c r="W9" s="121"/>
      <c r="X9" s="121"/>
      <c r="Y9" s="121"/>
      <c r="Z9" s="121"/>
      <c r="AA9" s="121"/>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row>
    <row r="10" spans="1:81">
      <c r="A10" s="106">
        <f>A2</f>
        <v>2023</v>
      </c>
      <c r="B10" s="107">
        <f>Revenue!N11</f>
        <v>0</v>
      </c>
      <c r="C10" s="107">
        <f>Revenue!O11</f>
        <v>0</v>
      </c>
      <c r="D10" s="107">
        <f>Revenue!P11</f>
        <v>0</v>
      </c>
      <c r="E10" s="196">
        <f>SUM(B10:D10)</f>
        <v>0</v>
      </c>
      <c r="F10" s="196">
        <f>Exploration!S37</f>
        <v>9.6278000000000006</v>
      </c>
      <c r="G10" s="196">
        <f>-'Deposit Recovery'!O16</f>
        <v>0</v>
      </c>
      <c r="H10" s="196">
        <f>Development!BI92</f>
        <v>0</v>
      </c>
      <c r="I10" s="196">
        <f>Abandonment!G16</f>
        <v>0</v>
      </c>
      <c r="J10" s="196">
        <f>Operations!M19</f>
        <v>0</v>
      </c>
      <c r="K10" s="196">
        <f t="shared" ref="K10:K49" si="2">SUM(F10:J10)</f>
        <v>9.6278000000000006</v>
      </c>
      <c r="L10" s="196">
        <f t="shared" ref="L10:L49" si="3">E10-K10</f>
        <v>-9.6278000000000006</v>
      </c>
      <c r="M10" s="196">
        <f>Royalty!AM12</f>
        <v>0</v>
      </c>
      <c r="N10" s="196">
        <f>'Provincial Tax'!X10</f>
        <v>0</v>
      </c>
      <c r="O10" s="196">
        <f>'Federal Tax'!X11</f>
        <v>0</v>
      </c>
      <c r="P10" s="196">
        <f t="shared" ref="P10:P49" si="4">SUM(M10:O10)</f>
        <v>0</v>
      </c>
      <c r="Q10" s="196">
        <f t="shared" ref="Q10:Q49" si="5">L10-P10</f>
        <v>-9.6278000000000006</v>
      </c>
      <c r="R10" s="203"/>
      <c r="S10" s="204"/>
      <c r="T10" s="196">
        <f>T9+Q10</f>
        <v>-9.6278000000000006</v>
      </c>
      <c r="U10" s="205">
        <f t="shared" ref="U10:U16" si="6">IF(T10&gt;0,IF(T9&lt;0,DATE(A10,1,1)-T9/(T10-T9)*365,0),0)</f>
        <v>0</v>
      </c>
      <c r="V10" s="64"/>
      <c r="W10" s="121"/>
      <c r="X10" s="64"/>
      <c r="Y10" s="206"/>
      <c r="Z10" s="122"/>
      <c r="AA10" s="122"/>
      <c r="AB10" s="200"/>
      <c r="AC10" s="200"/>
      <c r="AD10" s="200"/>
      <c r="AE10" s="200"/>
      <c r="AF10" s="200"/>
      <c r="AG10" s="200"/>
      <c r="AH10" s="200"/>
      <c r="AI10" s="200"/>
      <c r="AJ10" s="200"/>
      <c r="AK10" s="200"/>
      <c r="AL10" s="200"/>
      <c r="AM10" s="200"/>
      <c r="AN10" s="200"/>
      <c r="AO10" s="200"/>
      <c r="AP10" s="200"/>
      <c r="AQ10" s="200"/>
      <c r="AR10" s="200"/>
      <c r="AS10" s="200"/>
      <c r="AT10" s="200"/>
      <c r="AU10" s="200"/>
      <c r="AV10" s="200"/>
      <c r="AW10" s="200"/>
      <c r="AX10" s="200"/>
      <c r="AY10" s="200"/>
      <c r="AZ10" s="200"/>
      <c r="BA10" s="200"/>
      <c r="BB10" s="200"/>
      <c r="BC10" s="200"/>
      <c r="BD10" s="200"/>
      <c r="BE10" s="200"/>
      <c r="BF10" s="200"/>
      <c r="BG10" s="200"/>
      <c r="BH10" s="200"/>
      <c r="BI10" s="200"/>
      <c r="BJ10" s="200"/>
      <c r="BK10" s="200"/>
      <c r="BL10" s="200"/>
      <c r="BM10" s="200"/>
      <c r="BN10" s="200"/>
      <c r="BO10" s="200"/>
      <c r="BP10" s="200"/>
      <c r="BQ10" s="200"/>
      <c r="BR10" s="200"/>
      <c r="BS10" s="200"/>
      <c r="BT10" s="200"/>
      <c r="BU10" s="200"/>
      <c r="BV10" s="200"/>
      <c r="BW10" s="200"/>
      <c r="BX10" s="200"/>
      <c r="BY10" s="200"/>
      <c r="BZ10" s="200"/>
      <c r="CA10" s="200"/>
      <c r="CB10" s="200"/>
      <c r="CC10" s="200"/>
    </row>
    <row r="11" spans="1:81">
      <c r="A11" s="108">
        <f>IF(OR(A10=Abandonment!$B$4,A10=""),"",'Success Cash Flow'!A10+1)</f>
        <v>2024</v>
      </c>
      <c r="B11" s="109">
        <f>Revenue!N12</f>
        <v>0</v>
      </c>
      <c r="C11" s="109">
        <f>Revenue!O12</f>
        <v>0</v>
      </c>
      <c r="D11" s="109">
        <f>Revenue!P12</f>
        <v>0</v>
      </c>
      <c r="E11" s="196">
        <f>SUM(B11:D11)</f>
        <v>0</v>
      </c>
      <c r="F11" s="196">
        <f>Exploration!S38</f>
        <v>74.852665618512248</v>
      </c>
      <c r="G11" s="196">
        <f>-'Deposit Recovery'!O17</f>
        <v>0</v>
      </c>
      <c r="H11" s="196">
        <f>Development!BI93</f>
        <v>0</v>
      </c>
      <c r="I11" s="196">
        <f>Abandonment!G17</f>
        <v>0</v>
      </c>
      <c r="J11" s="196">
        <f>Operations!M20</f>
        <v>0</v>
      </c>
      <c r="K11" s="196">
        <f t="shared" si="2"/>
        <v>74.852665618512248</v>
      </c>
      <c r="L11" s="196">
        <f t="shared" si="3"/>
        <v>-74.852665618512248</v>
      </c>
      <c r="M11" s="196">
        <f>Royalty!AM13</f>
        <v>0</v>
      </c>
      <c r="N11" s="196">
        <f>'Provincial Tax'!X11</f>
        <v>0</v>
      </c>
      <c r="O11" s="196">
        <f>'Federal Tax'!X12</f>
        <v>0</v>
      </c>
      <c r="P11" s="196">
        <f t="shared" si="4"/>
        <v>0</v>
      </c>
      <c r="Q11" s="196">
        <f t="shared" si="5"/>
        <v>-74.852665618512248</v>
      </c>
      <c r="R11" s="203"/>
      <c r="S11" s="204"/>
      <c r="T11" s="196">
        <f t="shared" ref="T11:T49" si="7">T10+Q11</f>
        <v>-84.480465618512255</v>
      </c>
      <c r="U11" s="207">
        <f t="shared" si="6"/>
        <v>0</v>
      </c>
      <c r="V11" s="64"/>
      <c r="W11" s="121"/>
      <c r="X11" s="64"/>
      <c r="Y11" s="143"/>
      <c r="Z11" s="122"/>
      <c r="AA11" s="122"/>
      <c r="AB11" s="200"/>
      <c r="AC11" s="200"/>
      <c r="AD11" s="200"/>
      <c r="AE11" s="200"/>
      <c r="AF11" s="200"/>
      <c r="AG11" s="200"/>
      <c r="AH11" s="200"/>
      <c r="AI11" s="200"/>
      <c r="AJ11" s="200"/>
      <c r="AK11" s="200"/>
      <c r="AL11" s="200"/>
      <c r="AM11" s="200"/>
      <c r="AN11" s="200"/>
      <c r="AO11" s="200"/>
      <c r="AP11" s="200"/>
      <c r="AQ11" s="200"/>
      <c r="AR11" s="200"/>
      <c r="AS11" s="200"/>
      <c r="AT11" s="200"/>
      <c r="AU11" s="200"/>
      <c r="AV11" s="200"/>
      <c r="AW11" s="200"/>
      <c r="AX11" s="200"/>
      <c r="AY11" s="200"/>
      <c r="AZ11" s="200"/>
      <c r="BA11" s="200"/>
      <c r="BB11" s="200"/>
      <c r="BC11" s="200"/>
      <c r="BD11" s="200"/>
      <c r="BE11" s="200"/>
      <c r="BF11" s="200"/>
      <c r="BG11" s="200"/>
      <c r="BH11" s="200"/>
      <c r="BI11" s="200"/>
      <c r="BJ11" s="200"/>
      <c r="BK11" s="200"/>
      <c r="BL11" s="200"/>
      <c r="BM11" s="200"/>
      <c r="BN11" s="200"/>
      <c r="BO11" s="200"/>
      <c r="BP11" s="200"/>
      <c r="BQ11" s="200"/>
      <c r="BR11" s="200"/>
      <c r="BS11" s="200"/>
      <c r="BT11" s="200"/>
      <c r="BU11" s="200"/>
      <c r="BV11" s="200"/>
      <c r="BW11" s="200"/>
      <c r="BX11" s="200"/>
      <c r="BY11" s="200"/>
      <c r="BZ11" s="200"/>
      <c r="CA11" s="200"/>
      <c r="CB11" s="200"/>
      <c r="CC11" s="200"/>
    </row>
    <row r="12" spans="1:81">
      <c r="A12" s="108">
        <f>IF(OR(A11=Abandonment!$B$4,A11=""),"",'Success Cash Flow'!A11+1)</f>
        <v>2025</v>
      </c>
      <c r="B12" s="109">
        <f>Revenue!N13</f>
        <v>0</v>
      </c>
      <c r="C12" s="109">
        <f>Revenue!O13</f>
        <v>0</v>
      </c>
      <c r="D12" s="109">
        <f>Revenue!P13</f>
        <v>0</v>
      </c>
      <c r="E12" s="196">
        <f t="shared" ref="E12:E49" si="8">SUM(B12:D12)</f>
        <v>0</v>
      </c>
      <c r="F12" s="196">
        <f>Exploration!S39</f>
        <v>143.34600408396014</v>
      </c>
      <c r="G12" s="196">
        <f>-'Deposit Recovery'!O18</f>
        <v>0</v>
      </c>
      <c r="H12" s="196">
        <f>Development!BI94</f>
        <v>0</v>
      </c>
      <c r="I12" s="196">
        <f>Abandonment!G18</f>
        <v>0</v>
      </c>
      <c r="J12" s="196">
        <f>Operations!M21</f>
        <v>0</v>
      </c>
      <c r="K12" s="196">
        <f t="shared" si="2"/>
        <v>143.34600408396014</v>
      </c>
      <c r="L12" s="196">
        <f t="shared" si="3"/>
        <v>-143.34600408396014</v>
      </c>
      <c r="M12" s="196">
        <f>Royalty!AM14</f>
        <v>0</v>
      </c>
      <c r="N12" s="196">
        <f>'Provincial Tax'!X12</f>
        <v>0</v>
      </c>
      <c r="O12" s="196">
        <f>'Federal Tax'!X13</f>
        <v>0</v>
      </c>
      <c r="P12" s="196">
        <f t="shared" si="4"/>
        <v>0</v>
      </c>
      <c r="Q12" s="196">
        <f t="shared" si="5"/>
        <v>-143.34600408396014</v>
      </c>
      <c r="R12" s="203"/>
      <c r="S12" s="204"/>
      <c r="T12" s="196">
        <f t="shared" si="7"/>
        <v>-227.82646970247239</v>
      </c>
      <c r="U12" s="207">
        <f t="shared" si="6"/>
        <v>0</v>
      </c>
      <c r="V12" s="64"/>
      <c r="W12" s="121"/>
      <c r="X12" s="64"/>
      <c r="Y12" s="64"/>
      <c r="Z12" s="122"/>
      <c r="AA12" s="122"/>
      <c r="AB12" s="200"/>
      <c r="AC12" s="200"/>
      <c r="AD12" s="200"/>
      <c r="AE12" s="200"/>
      <c r="AF12" s="200"/>
      <c r="AG12" s="200"/>
      <c r="AH12" s="200"/>
      <c r="AI12" s="200"/>
      <c r="AJ12" s="200"/>
      <c r="AK12" s="200"/>
      <c r="AL12" s="200"/>
      <c r="AM12" s="200"/>
      <c r="AN12" s="200"/>
      <c r="AO12" s="200"/>
      <c r="AP12" s="200"/>
      <c r="AQ12" s="200"/>
      <c r="AR12" s="200"/>
      <c r="AS12" s="200"/>
      <c r="AT12" s="200"/>
      <c r="AU12" s="200"/>
      <c r="AV12" s="200"/>
      <c r="AW12" s="200"/>
      <c r="AX12" s="200"/>
      <c r="AY12" s="200"/>
      <c r="AZ12" s="200"/>
      <c r="BA12" s="200"/>
      <c r="BB12" s="200"/>
      <c r="BC12" s="200"/>
      <c r="BD12" s="200"/>
      <c r="BE12" s="200"/>
      <c r="BF12" s="200"/>
      <c r="BG12" s="200"/>
      <c r="BH12" s="200"/>
      <c r="BI12" s="200"/>
      <c r="BJ12" s="200"/>
      <c r="BK12" s="200"/>
      <c r="BL12" s="200"/>
      <c r="BM12" s="200"/>
      <c r="BN12" s="200"/>
      <c r="BO12" s="200"/>
      <c r="BP12" s="200"/>
      <c r="BQ12" s="200"/>
      <c r="BR12" s="200"/>
      <c r="BS12" s="200"/>
      <c r="BT12" s="200"/>
      <c r="BU12" s="200"/>
      <c r="BV12" s="200"/>
      <c r="BW12" s="200"/>
      <c r="BX12" s="200"/>
      <c r="BY12" s="200"/>
      <c r="BZ12" s="200"/>
      <c r="CA12" s="200"/>
      <c r="CB12" s="200"/>
      <c r="CC12" s="200"/>
    </row>
    <row r="13" spans="1:81">
      <c r="A13" s="108">
        <f>IF(OR(A12=Abandonment!$B$4,A12=""),"",'Success Cash Flow'!A12+1)</f>
        <v>2026</v>
      </c>
      <c r="B13" s="109">
        <f>Revenue!N14</f>
        <v>0</v>
      </c>
      <c r="C13" s="109">
        <f>Revenue!O14</f>
        <v>0</v>
      </c>
      <c r="D13" s="109">
        <f>Revenue!P14</f>
        <v>0</v>
      </c>
      <c r="E13" s="196">
        <f t="shared" si="8"/>
        <v>0</v>
      </c>
      <c r="F13" s="196">
        <f>Exploration!S40</f>
        <v>221.40191068909044</v>
      </c>
      <c r="G13" s="196">
        <f>-'Deposit Recovery'!O19</f>
        <v>0</v>
      </c>
      <c r="H13" s="196">
        <f>Development!BI95</f>
        <v>0</v>
      </c>
      <c r="I13" s="196">
        <f>Abandonment!G19</f>
        <v>0</v>
      </c>
      <c r="J13" s="196">
        <f>Operations!M22</f>
        <v>0</v>
      </c>
      <c r="K13" s="196">
        <f t="shared" si="2"/>
        <v>221.40191068909044</v>
      </c>
      <c r="L13" s="196">
        <f t="shared" si="3"/>
        <v>-221.40191068909044</v>
      </c>
      <c r="M13" s="196">
        <f>Royalty!AM15</f>
        <v>0</v>
      </c>
      <c r="N13" s="196">
        <f>'Provincial Tax'!X13</f>
        <v>0</v>
      </c>
      <c r="O13" s="196">
        <f>'Federal Tax'!X14</f>
        <v>0</v>
      </c>
      <c r="P13" s="196">
        <f t="shared" si="4"/>
        <v>0</v>
      </c>
      <c r="Q13" s="196">
        <f t="shared" si="5"/>
        <v>-221.40191068909044</v>
      </c>
      <c r="R13" s="203"/>
      <c r="S13" s="204"/>
      <c r="T13" s="196">
        <f t="shared" si="7"/>
        <v>-449.22838039156284</v>
      </c>
      <c r="U13" s="207">
        <f t="shared" si="6"/>
        <v>0</v>
      </c>
      <c r="V13" s="64"/>
      <c r="W13" s="121"/>
      <c r="X13" s="64"/>
      <c r="Y13" s="64"/>
      <c r="Z13" s="122"/>
      <c r="AA13" s="122"/>
      <c r="AB13" s="200"/>
      <c r="AC13" s="200"/>
      <c r="AD13" s="200"/>
      <c r="AE13" s="200"/>
      <c r="AF13" s="200"/>
      <c r="AG13" s="200"/>
      <c r="AH13" s="200"/>
      <c r="AI13" s="200"/>
      <c r="AJ13" s="200"/>
      <c r="AK13" s="200"/>
      <c r="AL13" s="200"/>
      <c r="AM13" s="200"/>
      <c r="AN13" s="200"/>
      <c r="AO13" s="200"/>
      <c r="AP13" s="200"/>
      <c r="AQ13" s="200"/>
      <c r="AR13" s="200"/>
      <c r="AS13" s="200"/>
      <c r="AT13" s="200"/>
      <c r="AU13" s="200"/>
      <c r="AV13" s="200"/>
      <c r="AW13" s="200"/>
      <c r="AX13" s="200"/>
      <c r="AY13" s="200"/>
      <c r="AZ13" s="200"/>
      <c r="BA13" s="200"/>
      <c r="BB13" s="200"/>
      <c r="BC13" s="200"/>
      <c r="BD13" s="200"/>
      <c r="BE13" s="200"/>
      <c r="BF13" s="200"/>
      <c r="BG13" s="200"/>
      <c r="BH13" s="200"/>
      <c r="BI13" s="200"/>
      <c r="BJ13" s="200"/>
      <c r="BK13" s="200"/>
      <c r="BL13" s="200"/>
      <c r="BM13" s="200"/>
      <c r="BN13" s="200"/>
      <c r="BO13" s="200"/>
      <c r="BP13" s="200"/>
      <c r="BQ13" s="200"/>
      <c r="BR13" s="200"/>
      <c r="BS13" s="200"/>
      <c r="BT13" s="200"/>
      <c r="BU13" s="200"/>
      <c r="BV13" s="200"/>
      <c r="BW13" s="200"/>
      <c r="BX13" s="200"/>
      <c r="BY13" s="200"/>
      <c r="BZ13" s="200"/>
      <c r="CA13" s="200"/>
      <c r="CB13" s="200"/>
      <c r="CC13" s="200"/>
    </row>
    <row r="14" spans="1:81">
      <c r="A14" s="108">
        <f>IF(OR(A13=Abandonment!$B$4,A13=""),"",'Success Cash Flow'!A13+1)</f>
        <v>2027</v>
      </c>
      <c r="B14" s="109">
        <f>Revenue!N15</f>
        <v>0</v>
      </c>
      <c r="C14" s="109">
        <f>Revenue!O15</f>
        <v>0</v>
      </c>
      <c r="D14" s="109">
        <f>Revenue!P15</f>
        <v>0</v>
      </c>
      <c r="E14" s="196">
        <f t="shared" si="8"/>
        <v>0</v>
      </c>
      <c r="F14" s="196">
        <f>Exploration!S41</f>
        <v>0</v>
      </c>
      <c r="G14" s="196">
        <f>-'Deposit Recovery'!O20</f>
        <v>0</v>
      </c>
      <c r="H14" s="196">
        <f>Development!BI96</f>
        <v>14.316016678088269</v>
      </c>
      <c r="I14" s="196">
        <f>Abandonment!G20</f>
        <v>0</v>
      </c>
      <c r="J14" s="196">
        <f>Operations!M23</f>
        <v>0</v>
      </c>
      <c r="K14" s="196">
        <f t="shared" si="2"/>
        <v>14.316016678088269</v>
      </c>
      <c r="L14" s="196">
        <f t="shared" si="3"/>
        <v>-14.316016678088269</v>
      </c>
      <c r="M14" s="196">
        <f>Royalty!AM16</f>
        <v>0</v>
      </c>
      <c r="N14" s="196">
        <f>'Provincial Tax'!X14</f>
        <v>0</v>
      </c>
      <c r="O14" s="196">
        <f>'Federal Tax'!X15</f>
        <v>0</v>
      </c>
      <c r="P14" s="196">
        <f t="shared" si="4"/>
        <v>0</v>
      </c>
      <c r="Q14" s="196">
        <f t="shared" si="5"/>
        <v>-14.316016678088269</v>
      </c>
      <c r="R14" s="203"/>
      <c r="S14" s="204"/>
      <c r="T14" s="196">
        <f t="shared" si="7"/>
        <v>-463.5443970696511</v>
      </c>
      <c r="U14" s="207">
        <f t="shared" si="6"/>
        <v>0</v>
      </c>
      <c r="V14" s="64"/>
      <c r="W14" s="121"/>
      <c r="X14" s="64"/>
      <c r="Y14" s="64"/>
      <c r="Z14" s="122"/>
      <c r="AA14" s="122"/>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row>
    <row r="15" spans="1:81">
      <c r="A15" s="108">
        <f>IF(OR(A14=Abandonment!$B$4,A14=""),"",'Success Cash Flow'!A14+1)</f>
        <v>2028</v>
      </c>
      <c r="B15" s="109">
        <f>Revenue!N16</f>
        <v>0</v>
      </c>
      <c r="C15" s="109">
        <f>Revenue!O16</f>
        <v>0</v>
      </c>
      <c r="D15" s="109">
        <f>Revenue!P16</f>
        <v>0</v>
      </c>
      <c r="E15" s="196">
        <f t="shared" si="8"/>
        <v>0</v>
      </c>
      <c r="F15" s="196">
        <f>Exploration!S42</f>
        <v>0</v>
      </c>
      <c r="G15" s="196">
        <f>-'Deposit Recovery'!O21</f>
        <v>0</v>
      </c>
      <c r="H15" s="196">
        <f>Development!BI97</f>
        <v>2.4305764579831179</v>
      </c>
      <c r="I15" s="196">
        <f>Abandonment!G21</f>
        <v>0</v>
      </c>
      <c r="J15" s="196">
        <f>Operations!M24</f>
        <v>0</v>
      </c>
      <c r="K15" s="196">
        <f t="shared" si="2"/>
        <v>2.4305764579831179</v>
      </c>
      <c r="L15" s="196">
        <f t="shared" si="3"/>
        <v>-2.4305764579831179</v>
      </c>
      <c r="M15" s="196">
        <f>Royalty!AM17</f>
        <v>0</v>
      </c>
      <c r="N15" s="196">
        <f>'Provincial Tax'!X15</f>
        <v>0</v>
      </c>
      <c r="O15" s="196">
        <f>'Federal Tax'!X16</f>
        <v>0</v>
      </c>
      <c r="P15" s="196">
        <f t="shared" si="4"/>
        <v>0</v>
      </c>
      <c r="Q15" s="196">
        <f t="shared" si="5"/>
        <v>-2.4305764579831179</v>
      </c>
      <c r="R15" s="203"/>
      <c r="S15" s="204"/>
      <c r="T15" s="196">
        <f t="shared" si="7"/>
        <v>-465.97497352763423</v>
      </c>
      <c r="U15" s="207">
        <f t="shared" si="6"/>
        <v>0</v>
      </c>
      <c r="V15" s="64"/>
      <c r="W15" s="121"/>
      <c r="X15" s="64"/>
      <c r="Y15" s="64"/>
      <c r="Z15" s="122"/>
      <c r="AA15" s="122"/>
      <c r="AB15" s="200"/>
      <c r="AC15" s="200"/>
      <c r="AD15" s="200"/>
      <c r="AE15" s="200"/>
      <c r="AF15" s="200"/>
      <c r="AG15" s="200"/>
      <c r="AH15" s="200"/>
      <c r="AI15" s="200"/>
      <c r="AJ15" s="200"/>
      <c r="AK15" s="200"/>
      <c r="AL15" s="200"/>
      <c r="AM15" s="200"/>
      <c r="AN15" s="200"/>
      <c r="AO15" s="200"/>
      <c r="AP15" s="200"/>
      <c r="AQ15" s="200"/>
      <c r="AR15" s="200"/>
      <c r="AS15" s="200"/>
      <c r="AT15" s="200"/>
      <c r="AU15" s="200"/>
      <c r="AV15" s="200"/>
      <c r="AW15" s="200"/>
      <c r="AX15" s="200"/>
      <c r="AY15" s="200"/>
      <c r="AZ15" s="200"/>
      <c r="BA15" s="200"/>
      <c r="BB15" s="200"/>
      <c r="BC15" s="200"/>
      <c r="BD15" s="200"/>
      <c r="BE15" s="200"/>
      <c r="BF15" s="200"/>
      <c r="BG15" s="200"/>
      <c r="BH15" s="200"/>
      <c r="BI15" s="200"/>
      <c r="BJ15" s="200"/>
      <c r="BK15" s="200"/>
      <c r="BL15" s="200"/>
      <c r="BM15" s="200"/>
      <c r="BN15" s="200"/>
      <c r="BO15" s="200"/>
      <c r="BP15" s="200"/>
      <c r="BQ15" s="200"/>
      <c r="BR15" s="200"/>
      <c r="BS15" s="200"/>
      <c r="BT15" s="200"/>
      <c r="BU15" s="200"/>
      <c r="BV15" s="200"/>
      <c r="BW15" s="200"/>
      <c r="BX15" s="200"/>
      <c r="BY15" s="200"/>
      <c r="BZ15" s="200"/>
      <c r="CA15" s="200"/>
      <c r="CB15" s="200"/>
      <c r="CC15" s="200"/>
    </row>
    <row r="16" spans="1:81">
      <c r="A16" s="108">
        <f>IF(OR(A15=Abandonment!$B$4,A15=""),"",'Success Cash Flow'!A15+1)</f>
        <v>2029</v>
      </c>
      <c r="B16" s="109">
        <f>Revenue!N17</f>
        <v>0</v>
      </c>
      <c r="C16" s="109">
        <f>Revenue!O17</f>
        <v>0</v>
      </c>
      <c r="D16" s="109">
        <f>Revenue!P17</f>
        <v>0</v>
      </c>
      <c r="E16" s="196">
        <f t="shared" si="8"/>
        <v>0</v>
      </c>
      <c r="F16" s="196">
        <f>Exploration!S43</f>
        <v>0</v>
      </c>
      <c r="G16" s="196">
        <f>-'Deposit Recovery'!O22</f>
        <v>0</v>
      </c>
      <c r="H16" s="196">
        <f>Development!BI98</f>
        <v>472.39278561449589</v>
      </c>
      <c r="I16" s="196">
        <f>Abandonment!G22</f>
        <v>0</v>
      </c>
      <c r="J16" s="196">
        <f>Operations!M25</f>
        <v>0</v>
      </c>
      <c r="K16" s="196">
        <f t="shared" si="2"/>
        <v>472.39278561449589</v>
      </c>
      <c r="L16" s="196">
        <f t="shared" si="3"/>
        <v>-472.39278561449589</v>
      </c>
      <c r="M16" s="196">
        <f>Royalty!AM18</f>
        <v>0</v>
      </c>
      <c r="N16" s="196">
        <f>'Provincial Tax'!X16</f>
        <v>0</v>
      </c>
      <c r="O16" s="196">
        <f>'Federal Tax'!X17</f>
        <v>0</v>
      </c>
      <c r="P16" s="196">
        <f t="shared" si="4"/>
        <v>0</v>
      </c>
      <c r="Q16" s="196">
        <f t="shared" si="5"/>
        <v>-472.39278561449589</v>
      </c>
      <c r="R16" s="203"/>
      <c r="S16" s="204"/>
      <c r="T16" s="196">
        <f t="shared" si="7"/>
        <v>-938.36775914213013</v>
      </c>
      <c r="U16" s="207">
        <f t="shared" si="6"/>
        <v>0</v>
      </c>
      <c r="V16" s="64"/>
      <c r="W16" s="121"/>
      <c r="X16" s="64"/>
      <c r="Y16" s="64"/>
      <c r="Z16" s="122"/>
      <c r="AA16" s="122"/>
      <c r="AB16" s="200"/>
      <c r="AC16" s="200"/>
      <c r="AD16" s="200"/>
      <c r="AE16" s="200"/>
      <c r="AF16" s="200"/>
      <c r="AG16" s="200"/>
      <c r="AH16" s="200"/>
      <c r="AI16" s="200"/>
      <c r="AJ16" s="200"/>
      <c r="AK16" s="200"/>
      <c r="AL16" s="200"/>
      <c r="AM16" s="200"/>
      <c r="AN16" s="200"/>
      <c r="AO16" s="200"/>
      <c r="AP16" s="200"/>
      <c r="AQ16" s="200"/>
      <c r="AR16" s="200"/>
      <c r="AS16" s="200"/>
      <c r="AT16" s="200"/>
      <c r="AU16" s="200"/>
      <c r="AV16" s="200"/>
      <c r="AW16" s="200"/>
      <c r="AX16" s="200"/>
      <c r="AY16" s="200"/>
      <c r="AZ16" s="200"/>
      <c r="BA16" s="200"/>
      <c r="BB16" s="200"/>
      <c r="BC16" s="200"/>
      <c r="BD16" s="200"/>
      <c r="BE16" s="200"/>
      <c r="BF16" s="200"/>
      <c r="BG16" s="200"/>
      <c r="BH16" s="200"/>
      <c r="BI16" s="200"/>
      <c r="BJ16" s="200"/>
      <c r="BK16" s="200"/>
      <c r="BL16" s="200"/>
      <c r="BM16" s="200"/>
      <c r="BN16" s="200"/>
      <c r="BO16" s="200"/>
      <c r="BP16" s="200"/>
      <c r="BQ16" s="200"/>
      <c r="BR16" s="200"/>
      <c r="BS16" s="200"/>
      <c r="BT16" s="200"/>
      <c r="BU16" s="200"/>
      <c r="BV16" s="200"/>
      <c r="BW16" s="200"/>
      <c r="BX16" s="200"/>
      <c r="BY16" s="200"/>
      <c r="BZ16" s="200"/>
      <c r="CA16" s="200"/>
      <c r="CB16" s="200"/>
      <c r="CC16" s="200"/>
    </row>
    <row r="17" spans="1:81">
      <c r="A17" s="108">
        <f>IF(OR(A16=Abandonment!$B$4,A16=""),"",'Success Cash Flow'!A16+1)</f>
        <v>2030</v>
      </c>
      <c r="B17" s="109">
        <f>Revenue!N18</f>
        <v>0</v>
      </c>
      <c r="C17" s="109">
        <f>Revenue!O18</f>
        <v>0</v>
      </c>
      <c r="D17" s="109">
        <f>Revenue!P18</f>
        <v>0</v>
      </c>
      <c r="E17" s="196">
        <f t="shared" si="8"/>
        <v>0</v>
      </c>
      <c r="F17" s="196">
        <f>Exploration!S44</f>
        <v>0</v>
      </c>
      <c r="G17" s="196">
        <f>-'Deposit Recovery'!O23</f>
        <v>0</v>
      </c>
      <c r="H17" s="196">
        <f>Development!BI99</f>
        <v>4284.4333489780374</v>
      </c>
      <c r="I17" s="196">
        <f>Abandonment!G23</f>
        <v>0</v>
      </c>
      <c r="J17" s="196">
        <f>Operations!M26</f>
        <v>0</v>
      </c>
      <c r="K17" s="196">
        <f t="shared" si="2"/>
        <v>4284.4333489780374</v>
      </c>
      <c r="L17" s="196">
        <f t="shared" si="3"/>
        <v>-4284.4333489780374</v>
      </c>
      <c r="M17" s="196">
        <f>Royalty!AM19</f>
        <v>0</v>
      </c>
      <c r="N17" s="196">
        <f>'Provincial Tax'!X17</f>
        <v>0</v>
      </c>
      <c r="O17" s="196">
        <f>'Federal Tax'!X18</f>
        <v>0</v>
      </c>
      <c r="P17" s="196">
        <f t="shared" si="4"/>
        <v>0</v>
      </c>
      <c r="Q17" s="196">
        <f t="shared" si="5"/>
        <v>-4284.4333489780374</v>
      </c>
      <c r="R17" s="203"/>
      <c r="S17" s="204"/>
      <c r="T17" s="196">
        <f t="shared" si="7"/>
        <v>-5222.8011081201676</v>
      </c>
      <c r="U17" s="207">
        <f>IF(T17&gt;0,IF(T16&lt;0,DATE(A17,1,1)-T16/(T17-T16)*365,0),0)</f>
        <v>0</v>
      </c>
      <c r="V17" s="64"/>
      <c r="W17" s="121"/>
      <c r="X17" s="64"/>
      <c r="Y17" s="64"/>
      <c r="Z17" s="122"/>
      <c r="AA17" s="122"/>
      <c r="AB17" s="200"/>
      <c r="AC17" s="200"/>
      <c r="AD17" s="200"/>
      <c r="AE17" s="200"/>
      <c r="AF17" s="200"/>
      <c r="AG17" s="200"/>
      <c r="AH17" s="200"/>
      <c r="AI17" s="200"/>
      <c r="AJ17" s="200"/>
      <c r="AK17" s="200"/>
      <c r="AL17" s="200"/>
      <c r="AM17" s="200"/>
      <c r="AN17" s="200"/>
      <c r="AO17" s="200"/>
      <c r="AP17" s="200"/>
      <c r="AQ17" s="200"/>
      <c r="AR17" s="200"/>
      <c r="AS17" s="200"/>
      <c r="AT17" s="200"/>
      <c r="AU17" s="200"/>
      <c r="AV17" s="200"/>
      <c r="AW17" s="200"/>
      <c r="AX17" s="200"/>
      <c r="AY17" s="200"/>
      <c r="AZ17" s="200"/>
      <c r="BA17" s="200"/>
      <c r="BB17" s="200"/>
      <c r="BC17" s="200"/>
      <c r="BD17" s="200"/>
      <c r="BE17" s="200"/>
      <c r="BF17" s="200"/>
      <c r="BG17" s="200"/>
      <c r="BH17" s="200"/>
      <c r="BI17" s="200"/>
      <c r="BJ17" s="200"/>
      <c r="BK17" s="200"/>
      <c r="BL17" s="200"/>
      <c r="BM17" s="200"/>
      <c r="BN17" s="200"/>
      <c r="BO17" s="200"/>
      <c r="BP17" s="200"/>
      <c r="BQ17" s="200"/>
      <c r="BR17" s="200"/>
      <c r="BS17" s="200"/>
      <c r="BT17" s="200"/>
      <c r="BU17" s="200"/>
      <c r="BV17" s="200"/>
      <c r="BW17" s="200"/>
      <c r="BX17" s="200"/>
      <c r="BY17" s="200"/>
      <c r="BZ17" s="200"/>
      <c r="CA17" s="200"/>
      <c r="CB17" s="200"/>
      <c r="CC17" s="200"/>
    </row>
    <row r="18" spans="1:81">
      <c r="A18" s="108">
        <f>IF(OR(A17=Abandonment!$B$4,A17=""),"",'Success Cash Flow'!A17+1)</f>
        <v>2031</v>
      </c>
      <c r="B18" s="109">
        <f>Revenue!N19</f>
        <v>239.20228117098182</v>
      </c>
      <c r="C18" s="109">
        <f>Revenue!O19</f>
        <v>2289.7300618961954</v>
      </c>
      <c r="D18" s="109">
        <f>Revenue!P19</f>
        <v>0</v>
      </c>
      <c r="E18" s="196">
        <f t="shared" si="8"/>
        <v>2528.932343067177</v>
      </c>
      <c r="F18" s="196">
        <f>Exploration!S45</f>
        <v>0</v>
      </c>
      <c r="G18" s="196"/>
      <c r="H18" s="196">
        <f>Development!BI100</f>
        <v>2860.6572677246518</v>
      </c>
      <c r="I18" s="196">
        <f>Abandonment!G24</f>
        <v>0</v>
      </c>
      <c r="J18" s="196">
        <f>Operations!M27</f>
        <v>345.38599538637789</v>
      </c>
      <c r="K18" s="196">
        <f t="shared" si="2"/>
        <v>3206.0432631110298</v>
      </c>
      <c r="L18" s="196">
        <f t="shared" si="3"/>
        <v>-677.11092004385273</v>
      </c>
      <c r="M18" s="196">
        <f>Royalty!AM20</f>
        <v>50.578646861343543</v>
      </c>
      <c r="N18" s="196">
        <f>'Provincial Tax'!X18</f>
        <v>59.480887453873827</v>
      </c>
      <c r="O18" s="196">
        <f>'Federal Tax'!X19</f>
        <v>63.729522272007664</v>
      </c>
      <c r="P18" s="196">
        <f t="shared" si="4"/>
        <v>173.78905658722505</v>
      </c>
      <c r="Q18" s="196">
        <f t="shared" si="5"/>
        <v>-850.89997663107783</v>
      </c>
      <c r="R18" s="203"/>
      <c r="S18" s="204"/>
      <c r="T18" s="196">
        <f t="shared" si="7"/>
        <v>-6073.7010847512456</v>
      </c>
      <c r="U18" s="207">
        <f t="shared" ref="U18:U49" si="9">IF(T18&gt;0,IF(T17&lt;0,DATE(A18,1,1)-T17/(T18-T17)*365,0),0)</f>
        <v>0</v>
      </c>
      <c r="V18" s="64"/>
      <c r="W18" s="121"/>
      <c r="X18" s="64"/>
      <c r="Y18" s="64"/>
      <c r="Z18" s="122"/>
      <c r="AA18" s="122"/>
      <c r="AB18" s="200"/>
      <c r="AC18" s="200"/>
      <c r="AD18" s="200"/>
      <c r="AE18" s="200"/>
      <c r="AF18" s="200"/>
      <c r="AG18" s="200"/>
      <c r="AH18" s="200"/>
      <c r="AI18" s="200"/>
      <c r="AJ18" s="200"/>
      <c r="AK18" s="200"/>
      <c r="AL18" s="200"/>
      <c r="AM18" s="200"/>
      <c r="AN18" s="200"/>
      <c r="AO18" s="200"/>
      <c r="AP18" s="200"/>
      <c r="AQ18" s="200"/>
      <c r="AR18" s="200"/>
      <c r="AS18" s="200"/>
      <c r="AT18" s="200"/>
      <c r="AU18" s="200"/>
      <c r="AV18" s="200"/>
      <c r="AW18" s="200"/>
      <c r="AX18" s="200"/>
      <c r="AY18" s="200"/>
      <c r="AZ18" s="200"/>
      <c r="BA18" s="200"/>
      <c r="BB18" s="200"/>
      <c r="BC18" s="200"/>
      <c r="BD18" s="200"/>
      <c r="BE18" s="200"/>
      <c r="BF18" s="200"/>
      <c r="BG18" s="200"/>
      <c r="BH18" s="200"/>
      <c r="BI18" s="200"/>
      <c r="BJ18" s="200"/>
      <c r="BK18" s="200"/>
      <c r="BL18" s="200"/>
      <c r="BM18" s="200"/>
      <c r="BN18" s="200"/>
      <c r="BO18" s="200"/>
      <c r="BP18" s="200"/>
      <c r="BQ18" s="200"/>
      <c r="BR18" s="200"/>
      <c r="BS18" s="200"/>
      <c r="BT18" s="200"/>
      <c r="BU18" s="200"/>
      <c r="BV18" s="200"/>
      <c r="BW18" s="200"/>
      <c r="BX18" s="200"/>
      <c r="BY18" s="200"/>
      <c r="BZ18" s="200"/>
      <c r="CA18" s="200"/>
      <c r="CB18" s="200"/>
      <c r="CC18" s="200"/>
    </row>
    <row r="19" spans="1:81">
      <c r="A19" s="108">
        <f>IF(OR(A18=Abandonment!$B$4,A18=""),"",'Success Cash Flow'!A18+1)</f>
        <v>2032</v>
      </c>
      <c r="B19" s="109">
        <f>Revenue!N20</f>
        <v>423.2408017237907</v>
      </c>
      <c r="C19" s="109">
        <f>Revenue!O20</f>
        <v>4051.4128142251816</v>
      </c>
      <c r="D19" s="109">
        <f>Revenue!P20</f>
        <v>0</v>
      </c>
      <c r="E19" s="196">
        <f t="shared" si="8"/>
        <v>4474.6536159489724</v>
      </c>
      <c r="F19" s="196">
        <f>Exploration!S46</f>
        <v>0</v>
      </c>
      <c r="G19" s="196">
        <f>-'Deposit Recovery'!O25</f>
        <v>0</v>
      </c>
      <c r="H19" s="196">
        <f>Development!BI101</f>
        <v>0</v>
      </c>
      <c r="I19" s="196">
        <f>Abandonment!G25</f>
        <v>0</v>
      </c>
      <c r="J19" s="196">
        <f>Operations!M28</f>
        <v>485.12933283851851</v>
      </c>
      <c r="K19" s="196">
        <f t="shared" si="2"/>
        <v>485.12933283851851</v>
      </c>
      <c r="L19" s="196">
        <f t="shared" si="3"/>
        <v>3989.5242831104538</v>
      </c>
      <c r="M19" s="196">
        <f>Royalty!AM21</f>
        <v>89.493072318979443</v>
      </c>
      <c r="N19" s="196">
        <f>'Provincial Tax'!X19</f>
        <v>313.99787395455098</v>
      </c>
      <c r="O19" s="196">
        <f>'Federal Tax'!X20</f>
        <v>418.52461272649538</v>
      </c>
      <c r="P19" s="196">
        <f t="shared" si="4"/>
        <v>822.01555900002586</v>
      </c>
      <c r="Q19" s="196">
        <f t="shared" si="5"/>
        <v>3167.5087241104279</v>
      </c>
      <c r="R19" s="203"/>
      <c r="S19" s="204"/>
      <c r="T19" s="196">
        <f t="shared" si="7"/>
        <v>-2906.1923606408177</v>
      </c>
      <c r="U19" s="207">
        <f t="shared" si="9"/>
        <v>0</v>
      </c>
      <c r="V19" s="64"/>
      <c r="W19" s="121"/>
      <c r="X19" s="64"/>
      <c r="Y19" s="64"/>
      <c r="Z19" s="122"/>
      <c r="AA19" s="122"/>
      <c r="AB19" s="200"/>
      <c r="AC19" s="200"/>
      <c r="AD19" s="200"/>
      <c r="AE19" s="200"/>
      <c r="AF19" s="200"/>
      <c r="AG19" s="200"/>
      <c r="AH19" s="200"/>
      <c r="AI19" s="200"/>
      <c r="AJ19" s="200"/>
      <c r="AK19" s="200"/>
      <c r="AL19" s="200"/>
      <c r="AM19" s="200"/>
      <c r="AN19" s="200"/>
      <c r="AO19" s="200"/>
      <c r="AP19" s="200"/>
      <c r="AQ19" s="200"/>
      <c r="AR19" s="200"/>
      <c r="AS19" s="200"/>
      <c r="AT19" s="200"/>
      <c r="AU19" s="200"/>
      <c r="AV19" s="200"/>
      <c r="AW19" s="200"/>
      <c r="AX19" s="200"/>
      <c r="AY19" s="200"/>
      <c r="AZ19" s="200"/>
      <c r="BA19" s="200"/>
      <c r="BB19" s="200"/>
      <c r="BC19" s="200"/>
      <c r="BD19" s="200"/>
      <c r="BE19" s="200"/>
      <c r="BF19" s="200"/>
      <c r="BG19" s="200"/>
      <c r="BH19" s="200"/>
      <c r="BI19" s="200"/>
      <c r="BJ19" s="200"/>
      <c r="BK19" s="200"/>
      <c r="BL19" s="200"/>
      <c r="BM19" s="200"/>
      <c r="BN19" s="200"/>
      <c r="BO19" s="200"/>
      <c r="BP19" s="200"/>
      <c r="BQ19" s="200"/>
      <c r="BR19" s="200"/>
      <c r="BS19" s="200"/>
      <c r="BT19" s="200"/>
      <c r="BU19" s="200"/>
      <c r="BV19" s="200"/>
      <c r="BW19" s="200"/>
      <c r="BX19" s="200"/>
      <c r="BY19" s="200"/>
      <c r="BZ19" s="200"/>
      <c r="CA19" s="200"/>
      <c r="CB19" s="200"/>
      <c r="CC19" s="200"/>
    </row>
    <row r="20" spans="1:81">
      <c r="A20" s="108">
        <f>IF(OR(A19=Abandonment!$B$4,A19=""),"",'Success Cash Flow'!A19+1)</f>
        <v>2033</v>
      </c>
      <c r="B20" s="109">
        <f>Revenue!N21</f>
        <v>434.74693827338564</v>
      </c>
      <c r="C20" s="109">
        <f>Revenue!O21</f>
        <v>4161.5536817157299</v>
      </c>
      <c r="D20" s="109">
        <f>Revenue!P21</f>
        <v>0</v>
      </c>
      <c r="E20" s="196">
        <f t="shared" si="8"/>
        <v>4596.3006199891151</v>
      </c>
      <c r="F20" s="196">
        <f>Exploration!S47</f>
        <v>0</v>
      </c>
      <c r="G20" s="196"/>
      <c r="H20" s="196">
        <f>Development!BI102</f>
        <v>0</v>
      </c>
      <c r="I20" s="196">
        <f>Abandonment!G26</f>
        <v>0</v>
      </c>
      <c r="J20" s="196">
        <f>Operations!M29</f>
        <v>499.31719009157177</v>
      </c>
      <c r="K20" s="196">
        <f t="shared" si="2"/>
        <v>499.31719009157177</v>
      </c>
      <c r="L20" s="196">
        <f t="shared" si="3"/>
        <v>4096.9834298975438</v>
      </c>
      <c r="M20" s="196">
        <f>Royalty!AM22</f>
        <v>120.65289127471428</v>
      </c>
      <c r="N20" s="196">
        <f>'Provincial Tax'!X20</f>
        <v>385.34213376007438</v>
      </c>
      <c r="O20" s="196">
        <f>'Federal Tax'!X21</f>
        <v>474.44031128861559</v>
      </c>
      <c r="P20" s="196">
        <f t="shared" si="4"/>
        <v>980.43533632340427</v>
      </c>
      <c r="Q20" s="196">
        <f t="shared" si="5"/>
        <v>3116.5480935741398</v>
      </c>
      <c r="R20" s="203"/>
      <c r="S20" s="204"/>
      <c r="T20" s="196">
        <f t="shared" si="7"/>
        <v>210.35573293332209</v>
      </c>
      <c r="U20" s="207">
        <f t="shared" si="9"/>
        <v>48920.363819130864</v>
      </c>
      <c r="V20" s="64"/>
      <c r="W20" s="121"/>
      <c r="X20" s="64"/>
      <c r="Y20" s="64"/>
      <c r="Z20" s="122"/>
      <c r="AA20" s="122"/>
      <c r="AB20" s="200"/>
      <c r="AC20" s="200"/>
      <c r="AD20" s="200"/>
      <c r="AE20" s="200"/>
      <c r="AF20" s="200"/>
      <c r="AG20" s="200"/>
      <c r="AH20" s="200"/>
      <c r="AI20" s="200"/>
      <c r="AJ20" s="200"/>
      <c r="AK20" s="200"/>
      <c r="AL20" s="200"/>
      <c r="AM20" s="200"/>
      <c r="AN20" s="200"/>
      <c r="AO20" s="200"/>
      <c r="AP20" s="200"/>
      <c r="AQ20" s="200"/>
      <c r="AR20" s="200"/>
      <c r="AS20" s="200"/>
      <c r="AT20" s="200"/>
      <c r="AU20" s="200"/>
      <c r="AV20" s="200"/>
      <c r="AW20" s="200"/>
      <c r="AX20" s="200"/>
      <c r="AY20" s="200"/>
      <c r="AZ20" s="200"/>
      <c r="BA20" s="200"/>
      <c r="BB20" s="200"/>
      <c r="BC20" s="200"/>
      <c r="BD20" s="200"/>
      <c r="BE20" s="200"/>
      <c r="BF20" s="200"/>
      <c r="BG20" s="200"/>
      <c r="BH20" s="200"/>
      <c r="BI20" s="200"/>
      <c r="BJ20" s="200"/>
      <c r="BK20" s="200"/>
      <c r="BL20" s="200"/>
      <c r="BM20" s="200"/>
      <c r="BN20" s="200"/>
      <c r="BO20" s="200"/>
      <c r="BP20" s="200"/>
      <c r="BQ20" s="200"/>
      <c r="BR20" s="200"/>
      <c r="BS20" s="200"/>
      <c r="BT20" s="200"/>
      <c r="BU20" s="200"/>
      <c r="BV20" s="200"/>
      <c r="BW20" s="200"/>
      <c r="BX20" s="200"/>
      <c r="BY20" s="200"/>
      <c r="BZ20" s="200"/>
      <c r="CA20" s="200"/>
      <c r="CB20" s="200"/>
      <c r="CC20" s="200"/>
    </row>
    <row r="21" spans="1:81">
      <c r="A21" s="108">
        <f>IF(OR(A20=Abandonment!$B$4,A20=""),"",'Success Cash Flow'!A20+1)</f>
        <v>2034</v>
      </c>
      <c r="B21" s="109">
        <f>Revenue!N22</f>
        <v>447.78934642158731</v>
      </c>
      <c r="C21" s="109">
        <f>Revenue!O22</f>
        <v>4286.4002921672018</v>
      </c>
      <c r="D21" s="109">
        <f>Revenue!P22</f>
        <v>0</v>
      </c>
      <c r="E21" s="196">
        <f t="shared" si="8"/>
        <v>4734.1896385887894</v>
      </c>
      <c r="F21" s="196">
        <f>Exploration!S48</f>
        <v>0</v>
      </c>
      <c r="G21" s="196"/>
      <c r="H21" s="196">
        <f>Development!BI103</f>
        <v>0</v>
      </c>
      <c r="I21" s="196">
        <f>Abandonment!G27</f>
        <v>0</v>
      </c>
      <c r="J21" s="196">
        <f>Operations!M30</f>
        <v>514.29670579431888</v>
      </c>
      <c r="K21" s="196">
        <f t="shared" si="2"/>
        <v>514.29670579431888</v>
      </c>
      <c r="L21" s="196">
        <f t="shared" si="3"/>
        <v>4219.8929327944707</v>
      </c>
      <c r="M21" s="196">
        <f>Royalty!AM23</f>
        <v>609.82396350041972</v>
      </c>
      <c r="N21" s="196">
        <f>'Provincial Tax'!X21</f>
        <v>378.76406047987467</v>
      </c>
      <c r="O21" s="196">
        <f>'Federal Tax'!X22</f>
        <v>431.47436097961281</v>
      </c>
      <c r="P21" s="196">
        <f t="shared" si="4"/>
        <v>1420.0623849599071</v>
      </c>
      <c r="Q21" s="196">
        <f t="shared" si="5"/>
        <v>2799.8305478345637</v>
      </c>
      <c r="R21" s="203"/>
      <c r="S21" s="204"/>
      <c r="T21" s="196">
        <f t="shared" si="7"/>
        <v>3010.1862807678858</v>
      </c>
      <c r="U21" s="207">
        <f t="shared" si="9"/>
        <v>0</v>
      </c>
      <c r="V21" s="64"/>
      <c r="W21" s="121"/>
      <c r="X21" s="64"/>
      <c r="Y21" s="64"/>
      <c r="Z21" s="122"/>
      <c r="AA21" s="122"/>
      <c r="AB21" s="200"/>
      <c r="AC21" s="200"/>
      <c r="AD21" s="200"/>
      <c r="AE21" s="200"/>
      <c r="AF21" s="200"/>
      <c r="AG21" s="200"/>
      <c r="AH21" s="200"/>
      <c r="AI21" s="200"/>
      <c r="AJ21" s="200"/>
      <c r="AK21" s="200"/>
      <c r="AL21" s="200"/>
      <c r="AM21" s="200"/>
      <c r="AN21" s="200"/>
      <c r="AO21" s="200"/>
      <c r="AP21" s="200"/>
      <c r="AQ21" s="200"/>
      <c r="AR21" s="200"/>
      <c r="AS21" s="200"/>
      <c r="AT21" s="200"/>
      <c r="AU21" s="200"/>
      <c r="AV21" s="200"/>
      <c r="AW21" s="200"/>
      <c r="AX21" s="200"/>
      <c r="AY21" s="200"/>
      <c r="AZ21" s="200"/>
      <c r="BA21" s="200"/>
      <c r="BB21" s="200"/>
      <c r="BC21" s="200"/>
      <c r="BD21" s="200"/>
      <c r="BE21" s="200"/>
      <c r="BF21" s="200"/>
      <c r="BG21" s="200"/>
      <c r="BH21" s="200"/>
      <c r="BI21" s="200"/>
      <c r="BJ21" s="200"/>
      <c r="BK21" s="200"/>
      <c r="BL21" s="200"/>
      <c r="BM21" s="200"/>
      <c r="BN21" s="200"/>
      <c r="BO21" s="200"/>
      <c r="BP21" s="200"/>
      <c r="BQ21" s="200"/>
      <c r="BR21" s="200"/>
      <c r="BS21" s="200"/>
      <c r="BT21" s="200"/>
      <c r="BU21" s="200"/>
      <c r="BV21" s="200"/>
      <c r="BW21" s="200"/>
      <c r="BX21" s="200"/>
      <c r="BY21" s="200"/>
      <c r="BZ21" s="200"/>
      <c r="CA21" s="200"/>
      <c r="CB21" s="200"/>
      <c r="CC21" s="200"/>
    </row>
    <row r="22" spans="1:81">
      <c r="A22" s="108">
        <f>IF(OR(A21=Abandonment!$B$4,A21=""),"",'Success Cash Flow'!A21+1)</f>
        <v>2035</v>
      </c>
      <c r="B22" s="109">
        <f>Revenue!N23</f>
        <v>448.73280446437002</v>
      </c>
      <c r="C22" s="109">
        <f>Revenue!O23</f>
        <v>4295.4314110684218</v>
      </c>
      <c r="D22" s="109">
        <f>Revenue!P23</f>
        <v>0</v>
      </c>
      <c r="E22" s="196">
        <f t="shared" si="8"/>
        <v>4744.1642155327918</v>
      </c>
      <c r="F22" s="196">
        <f>Exploration!S49</f>
        <v>0</v>
      </c>
      <c r="G22" s="196"/>
      <c r="H22" s="196">
        <f>Development!BI104</f>
        <v>0</v>
      </c>
      <c r="I22" s="196">
        <f>Abandonment!G28</f>
        <v>0</v>
      </c>
      <c r="J22" s="196">
        <f>Operations!M31</f>
        <v>520.38284147447939</v>
      </c>
      <c r="K22" s="196">
        <f t="shared" si="2"/>
        <v>520.38284147447939</v>
      </c>
      <c r="L22" s="196">
        <f t="shared" si="3"/>
        <v>4223.7813740583124</v>
      </c>
      <c r="M22" s="196">
        <f>Royalty!AM24</f>
        <v>1329.7431099090877</v>
      </c>
      <c r="N22" s="196">
        <f>'Provincial Tax'!X22</f>
        <v>311.4849182747563</v>
      </c>
      <c r="O22" s="196">
        <f>'Federal Tax'!X23</f>
        <v>352.97563457204922</v>
      </c>
      <c r="P22" s="196">
        <f t="shared" si="4"/>
        <v>1994.2036627558932</v>
      </c>
      <c r="Q22" s="196">
        <f t="shared" si="5"/>
        <v>2229.5777113024192</v>
      </c>
      <c r="R22" s="203"/>
      <c r="S22" s="204"/>
      <c r="T22" s="196">
        <f t="shared" si="7"/>
        <v>5239.763992070305</v>
      </c>
      <c r="U22" s="207">
        <f t="shared" si="9"/>
        <v>0</v>
      </c>
      <c r="V22" s="64"/>
      <c r="W22" s="121"/>
      <c r="X22" s="64"/>
      <c r="Y22" s="64"/>
      <c r="Z22" s="122"/>
      <c r="AA22" s="122"/>
      <c r="AB22" s="200"/>
      <c r="AC22" s="200"/>
      <c r="AD22" s="200"/>
      <c r="AE22" s="200"/>
      <c r="AF22" s="200"/>
      <c r="AG22" s="200"/>
      <c r="AH22" s="200"/>
      <c r="AI22" s="200"/>
      <c r="AJ22" s="200"/>
      <c r="AK22" s="200"/>
      <c r="AL22" s="200"/>
      <c r="AM22" s="200"/>
      <c r="AN22" s="200"/>
      <c r="AO22" s="200"/>
      <c r="AP22" s="200"/>
      <c r="AQ22" s="200"/>
      <c r="AR22" s="200"/>
      <c r="AS22" s="200"/>
      <c r="AT22" s="200"/>
      <c r="AU22" s="200"/>
      <c r="AV22" s="200"/>
      <c r="AW22" s="200"/>
      <c r="AX22" s="200"/>
      <c r="AY22" s="200"/>
      <c r="AZ22" s="200"/>
      <c r="BA22" s="200"/>
      <c r="BB22" s="200"/>
      <c r="BC22" s="200"/>
      <c r="BD22" s="200"/>
      <c r="BE22" s="200"/>
      <c r="BF22" s="200"/>
      <c r="BG22" s="200"/>
      <c r="BH22" s="200"/>
      <c r="BI22" s="200"/>
      <c r="BJ22" s="200"/>
      <c r="BK22" s="200"/>
      <c r="BL22" s="200"/>
      <c r="BM22" s="200"/>
      <c r="BN22" s="200"/>
      <c r="BO22" s="200"/>
      <c r="BP22" s="200"/>
      <c r="BQ22" s="200"/>
      <c r="BR22" s="200"/>
      <c r="BS22" s="200"/>
      <c r="BT22" s="200"/>
      <c r="BU22" s="200"/>
      <c r="BV22" s="200"/>
      <c r="BW22" s="200"/>
      <c r="BX22" s="200"/>
      <c r="BY22" s="200"/>
      <c r="BZ22" s="200"/>
      <c r="CA22" s="200"/>
      <c r="CB22" s="200"/>
      <c r="CC22" s="200"/>
    </row>
    <row r="23" spans="1:81">
      <c r="A23" s="108">
        <f>IF(OR(A22=Abandonment!$B$4,A22=""),"",'Success Cash Flow'!A22+1)</f>
        <v>2036</v>
      </c>
      <c r="B23" s="109">
        <f>Revenue!N24</f>
        <v>399.61045097867867</v>
      </c>
      <c r="C23" s="109">
        <f>Revenue!O24</f>
        <v>3825.2146182491233</v>
      </c>
      <c r="D23" s="109">
        <f>Revenue!P24</f>
        <v>0</v>
      </c>
      <c r="E23" s="196">
        <f t="shared" si="8"/>
        <v>4224.8250692278016</v>
      </c>
      <c r="F23" s="196">
        <f>Exploration!S50</f>
        <v>0</v>
      </c>
      <c r="G23" s="196"/>
      <c r="H23" s="196">
        <f>Development!BI105</f>
        <v>0</v>
      </c>
      <c r="I23" s="196">
        <f>Abandonment!G29</f>
        <v>0</v>
      </c>
      <c r="J23" s="196">
        <f>Operations!M32</f>
        <v>488.69966965892007</v>
      </c>
      <c r="K23" s="196">
        <f t="shared" si="2"/>
        <v>488.69966965892007</v>
      </c>
      <c r="L23" s="196">
        <f t="shared" si="3"/>
        <v>3736.1253995688817</v>
      </c>
      <c r="M23" s="196">
        <f>Royalty!AM25</f>
        <v>1290.5394014110461</v>
      </c>
      <c r="N23" s="196">
        <f>'Provincial Tax'!X23</f>
        <v>273.03434110937957</v>
      </c>
      <c r="O23" s="196">
        <f>'Federal Tax'!X24</f>
        <v>291.57470436759462</v>
      </c>
      <c r="P23" s="196">
        <f t="shared" si="4"/>
        <v>1855.1484468880203</v>
      </c>
      <c r="Q23" s="196">
        <f t="shared" si="5"/>
        <v>1880.9769526808614</v>
      </c>
      <c r="R23" s="203"/>
      <c r="S23" s="204"/>
      <c r="T23" s="196">
        <f t="shared" si="7"/>
        <v>7120.7409447511664</v>
      </c>
      <c r="U23" s="207">
        <f t="shared" si="9"/>
        <v>0</v>
      </c>
      <c r="V23" s="64"/>
      <c r="W23" s="121"/>
      <c r="X23" s="64"/>
      <c r="Y23" s="64"/>
      <c r="Z23" s="122"/>
      <c r="AA23" s="122"/>
      <c r="AB23" s="200"/>
      <c r="AC23" s="200"/>
      <c r="AD23" s="200"/>
      <c r="AE23" s="200"/>
      <c r="AF23" s="200"/>
      <c r="AG23" s="200"/>
      <c r="AH23" s="200"/>
      <c r="AI23" s="200"/>
      <c r="AJ23" s="200"/>
      <c r="AK23" s="200"/>
      <c r="AL23" s="200"/>
      <c r="AM23" s="200"/>
      <c r="AN23" s="200"/>
      <c r="AO23" s="200"/>
      <c r="AP23" s="200"/>
      <c r="AQ23" s="200"/>
      <c r="AR23" s="200"/>
      <c r="AS23" s="200"/>
      <c r="AT23" s="200"/>
      <c r="AU23" s="200"/>
      <c r="AV23" s="200"/>
      <c r="AW23" s="200"/>
      <c r="AX23" s="200"/>
      <c r="AY23" s="200"/>
      <c r="AZ23" s="200"/>
      <c r="BA23" s="200"/>
      <c r="BB23" s="200"/>
      <c r="BC23" s="200"/>
      <c r="BD23" s="200"/>
      <c r="BE23" s="200"/>
      <c r="BF23" s="200"/>
      <c r="BG23" s="200"/>
      <c r="BH23" s="200"/>
      <c r="BI23" s="200"/>
      <c r="BJ23" s="200"/>
      <c r="BK23" s="200"/>
      <c r="BL23" s="200"/>
      <c r="BM23" s="200"/>
      <c r="BN23" s="200"/>
      <c r="BO23" s="200"/>
      <c r="BP23" s="200"/>
      <c r="BQ23" s="200"/>
      <c r="BR23" s="200"/>
      <c r="BS23" s="200"/>
      <c r="BT23" s="200"/>
      <c r="BU23" s="200"/>
      <c r="BV23" s="200"/>
      <c r="BW23" s="200"/>
      <c r="BX23" s="200"/>
      <c r="BY23" s="200"/>
      <c r="BZ23" s="200"/>
      <c r="CA23" s="200"/>
      <c r="CB23" s="200"/>
      <c r="CC23" s="200"/>
    </row>
    <row r="24" spans="1:81">
      <c r="A24" s="108">
        <f>IF(OR(A23=Abandonment!$B$4,A23=""),"",'Success Cash Flow'!A23+1)</f>
        <v>2037</v>
      </c>
      <c r="B24" s="109">
        <f>Revenue!N25</f>
        <v>348.82327844233606</v>
      </c>
      <c r="C24" s="109">
        <f>Revenue!O25</f>
        <v>3339.0615801347039</v>
      </c>
      <c r="D24" s="109">
        <f>Revenue!P25</f>
        <v>0</v>
      </c>
      <c r="E24" s="196">
        <f t="shared" si="8"/>
        <v>3687.8848585770402</v>
      </c>
      <c r="F24" s="196">
        <f>Exploration!S51</f>
        <v>0</v>
      </c>
      <c r="G24" s="196"/>
      <c r="H24" s="196">
        <f>Development!BI106</f>
        <v>0</v>
      </c>
      <c r="I24" s="196">
        <f>Abandonment!G30</f>
        <v>0</v>
      </c>
      <c r="J24" s="196">
        <f>Operations!M33</f>
        <v>456.89980930528867</v>
      </c>
      <c r="K24" s="196">
        <f t="shared" si="2"/>
        <v>456.89980930528867</v>
      </c>
      <c r="L24" s="196">
        <f t="shared" si="3"/>
        <v>3230.9850492717514</v>
      </c>
      <c r="M24" s="196">
        <f>Royalty!AM26</f>
        <v>1114.8532739194279</v>
      </c>
      <c r="N24" s="196">
        <f>'Provincial Tax'!X24</f>
        <v>244.88651585260595</v>
      </c>
      <c r="O24" s="196">
        <f>'Federal Tax'!X25</f>
        <v>261.65684258345095</v>
      </c>
      <c r="P24" s="196">
        <f t="shared" si="4"/>
        <v>1621.3966323554848</v>
      </c>
      <c r="Q24" s="196">
        <f t="shared" si="5"/>
        <v>1609.5884169162666</v>
      </c>
      <c r="R24" s="203"/>
      <c r="S24" s="204"/>
      <c r="T24" s="196">
        <f t="shared" si="7"/>
        <v>8730.3293616674327</v>
      </c>
      <c r="U24" s="207">
        <f t="shared" si="9"/>
        <v>0</v>
      </c>
      <c r="V24" s="64"/>
      <c r="W24" s="121"/>
      <c r="X24" s="64"/>
      <c r="Y24" s="64"/>
      <c r="Z24" s="122"/>
      <c r="AA24" s="122"/>
      <c r="AB24" s="200"/>
      <c r="AC24" s="200"/>
      <c r="AD24" s="200"/>
      <c r="AE24" s="200"/>
      <c r="AF24" s="200"/>
      <c r="AG24" s="200"/>
      <c r="AH24" s="200"/>
      <c r="AI24" s="200"/>
      <c r="AJ24" s="200"/>
      <c r="AK24" s="200"/>
      <c r="AL24" s="200"/>
      <c r="AM24" s="200"/>
      <c r="AN24" s="200"/>
      <c r="AO24" s="200"/>
      <c r="AP24" s="200"/>
      <c r="AQ24" s="200"/>
      <c r="AR24" s="200"/>
      <c r="AS24" s="200"/>
      <c r="AT24" s="200"/>
      <c r="AU24" s="200"/>
      <c r="AV24" s="200"/>
      <c r="AW24" s="200"/>
      <c r="AX24" s="200"/>
      <c r="AY24" s="200"/>
      <c r="AZ24" s="200"/>
      <c r="BA24" s="200"/>
      <c r="BB24" s="200"/>
      <c r="BC24" s="200"/>
      <c r="BD24" s="200"/>
      <c r="BE24" s="200"/>
      <c r="BF24" s="200"/>
      <c r="BG24" s="200"/>
      <c r="BH24" s="200"/>
      <c r="BI24" s="200"/>
      <c r="BJ24" s="200"/>
      <c r="BK24" s="200"/>
      <c r="BL24" s="200"/>
      <c r="BM24" s="200"/>
      <c r="BN24" s="200"/>
      <c r="BO24" s="200"/>
      <c r="BP24" s="200"/>
      <c r="BQ24" s="200"/>
      <c r="BR24" s="200"/>
      <c r="BS24" s="200"/>
      <c r="BT24" s="200"/>
      <c r="BU24" s="200"/>
      <c r="BV24" s="200"/>
      <c r="BW24" s="200"/>
      <c r="BX24" s="200"/>
      <c r="BY24" s="200"/>
      <c r="BZ24" s="200"/>
      <c r="CA24" s="200"/>
      <c r="CB24" s="200"/>
      <c r="CC24" s="200"/>
    </row>
    <row r="25" spans="1:81">
      <c r="A25" s="108">
        <f>IF(OR(A24=Abandonment!$B$4,A24=""),"",'Success Cash Flow'!A24+1)</f>
        <v>2038</v>
      </c>
      <c r="B25" s="109">
        <f>Revenue!N26</f>
        <v>305.39478027626507</v>
      </c>
      <c r="C25" s="109">
        <f>Revenue!O26</f>
        <v>2923.3484134079317</v>
      </c>
      <c r="D25" s="109">
        <f>Revenue!P26</f>
        <v>0</v>
      </c>
      <c r="E25" s="196">
        <f t="shared" si="8"/>
        <v>3228.7431936841967</v>
      </c>
      <c r="F25" s="196">
        <f>Exploration!S52</f>
        <v>0</v>
      </c>
      <c r="G25" s="196"/>
      <c r="H25" s="196">
        <f>Development!BI107</f>
        <v>0</v>
      </c>
      <c r="I25" s="196">
        <f>Abandonment!G31</f>
        <v>0</v>
      </c>
      <c r="J25" s="196">
        <f>Operations!M34</f>
        <v>430.29435095706208</v>
      </c>
      <c r="K25" s="196">
        <f t="shared" si="2"/>
        <v>430.29435095706208</v>
      </c>
      <c r="L25" s="196">
        <f t="shared" si="3"/>
        <v>2798.4488427271344</v>
      </c>
      <c r="M25" s="196">
        <f>Royalty!AM27</f>
        <v>964.39679267099984</v>
      </c>
      <c r="N25" s="196">
        <f>'Provincial Tax'!X25</f>
        <v>218.68552637979252</v>
      </c>
      <c r="O25" s="196">
        <f>'Federal Tax'!X26</f>
        <v>222.21966953920705</v>
      </c>
      <c r="P25" s="196">
        <f t="shared" si="4"/>
        <v>1405.3019885899994</v>
      </c>
      <c r="Q25" s="196">
        <f t="shared" si="5"/>
        <v>1393.1468541371351</v>
      </c>
      <c r="R25" s="203"/>
      <c r="S25" s="204"/>
      <c r="T25" s="196">
        <f t="shared" si="7"/>
        <v>10123.476215804567</v>
      </c>
      <c r="U25" s="207">
        <f t="shared" si="9"/>
        <v>0</v>
      </c>
      <c r="V25" s="64"/>
      <c r="W25" s="121"/>
      <c r="X25" s="64"/>
      <c r="Y25" s="64"/>
      <c r="Z25" s="122"/>
      <c r="AA25" s="122"/>
      <c r="AB25" s="200"/>
      <c r="AC25" s="200"/>
      <c r="AD25" s="200"/>
      <c r="AE25" s="200"/>
      <c r="AF25" s="200"/>
      <c r="AG25" s="200"/>
      <c r="AH25" s="200"/>
      <c r="AI25" s="200"/>
      <c r="AJ25" s="200"/>
      <c r="AK25" s="200"/>
      <c r="AL25" s="200"/>
      <c r="AM25" s="200"/>
      <c r="AN25" s="200"/>
      <c r="AO25" s="200"/>
      <c r="AP25" s="200"/>
      <c r="AQ25" s="200"/>
      <c r="AR25" s="200"/>
      <c r="AS25" s="200"/>
      <c r="AT25" s="200"/>
      <c r="AU25" s="200"/>
      <c r="AV25" s="200"/>
      <c r="AW25" s="200"/>
      <c r="AX25" s="200"/>
      <c r="AY25" s="200"/>
      <c r="AZ25" s="200"/>
      <c r="BA25" s="200"/>
      <c r="BB25" s="200"/>
      <c r="BC25" s="200"/>
      <c r="BD25" s="200"/>
      <c r="BE25" s="200"/>
      <c r="BF25" s="200"/>
      <c r="BG25" s="200"/>
      <c r="BH25" s="200"/>
      <c r="BI25" s="200"/>
      <c r="BJ25" s="200"/>
      <c r="BK25" s="200"/>
      <c r="BL25" s="200"/>
      <c r="BM25" s="200"/>
      <c r="BN25" s="200"/>
      <c r="BO25" s="200"/>
      <c r="BP25" s="200"/>
      <c r="BQ25" s="200"/>
      <c r="BR25" s="200"/>
      <c r="BS25" s="200"/>
      <c r="BT25" s="200"/>
      <c r="BU25" s="200"/>
      <c r="BV25" s="200"/>
      <c r="BW25" s="200"/>
      <c r="BX25" s="200"/>
      <c r="BY25" s="200"/>
      <c r="BZ25" s="200"/>
      <c r="CA25" s="200"/>
      <c r="CB25" s="200"/>
      <c r="CC25" s="200"/>
    </row>
    <row r="26" spans="1:81">
      <c r="A26" s="108">
        <f>IF(OR(A25=Abandonment!$B$4,A25=""),"",'Success Cash Flow'!A25+1)</f>
        <v>2039</v>
      </c>
      <c r="B26" s="109">
        <f>Revenue!N27</f>
        <v>267.37313013186991</v>
      </c>
      <c r="C26" s="109">
        <f>Revenue!O27</f>
        <v>2559.3915359386438</v>
      </c>
      <c r="D26" s="109">
        <f>Revenue!P27</f>
        <v>0</v>
      </c>
      <c r="E26" s="196">
        <f t="shared" si="8"/>
        <v>2826.7646660705136</v>
      </c>
      <c r="F26" s="196">
        <f>Exploration!S53</f>
        <v>0</v>
      </c>
      <c r="G26" s="196"/>
      <c r="H26" s="196">
        <f>Development!BI108</f>
        <v>0</v>
      </c>
      <c r="I26" s="196">
        <f>Abandonment!G32</f>
        <v>0</v>
      </c>
      <c r="J26" s="196">
        <f>Operations!M35</f>
        <v>407.90962921049828</v>
      </c>
      <c r="K26" s="196">
        <f t="shared" si="2"/>
        <v>407.90962921049828</v>
      </c>
      <c r="L26" s="196">
        <f t="shared" si="3"/>
        <v>2418.8550368600154</v>
      </c>
      <c r="M26" s="196">
        <f>Royalty!AM28</f>
        <v>832.322425878638</v>
      </c>
      <c r="N26" s="196">
        <f>'Provincial Tax'!X26</f>
        <v>193.86627729247425</v>
      </c>
      <c r="O26" s="196">
        <f>'Federal Tax'!X27</f>
        <v>198.64917984115155</v>
      </c>
      <c r="P26" s="196">
        <f t="shared" si="4"/>
        <v>1224.8378830122638</v>
      </c>
      <c r="Q26" s="196">
        <f t="shared" si="5"/>
        <v>1194.0171538477516</v>
      </c>
      <c r="R26" s="203"/>
      <c r="S26" s="204"/>
      <c r="T26" s="196">
        <f t="shared" si="7"/>
        <v>11317.493369652319</v>
      </c>
      <c r="U26" s="207">
        <f t="shared" si="9"/>
        <v>0</v>
      </c>
      <c r="V26" s="64"/>
      <c r="W26" s="121"/>
      <c r="X26" s="64"/>
      <c r="Y26" s="64"/>
      <c r="Z26" s="122"/>
      <c r="AA26" s="122"/>
      <c r="AB26" s="200"/>
      <c r="AC26" s="200"/>
      <c r="AD26" s="200"/>
      <c r="AE26" s="200"/>
      <c r="AF26" s="200"/>
      <c r="AG26" s="200"/>
      <c r="AH26" s="200"/>
      <c r="AI26" s="200"/>
      <c r="AJ26" s="200"/>
      <c r="AK26" s="200"/>
      <c r="AL26" s="200"/>
      <c r="AM26" s="200"/>
      <c r="AN26" s="200"/>
      <c r="AO26" s="200"/>
      <c r="AP26" s="200"/>
      <c r="AQ26" s="200"/>
      <c r="AR26" s="200"/>
      <c r="AS26" s="200"/>
      <c r="AT26" s="200"/>
      <c r="AU26" s="200"/>
      <c r="AV26" s="200"/>
      <c r="AW26" s="200"/>
      <c r="AX26" s="200"/>
      <c r="AY26" s="200"/>
      <c r="AZ26" s="200"/>
      <c r="BA26" s="200"/>
      <c r="BB26" s="200"/>
      <c r="BC26" s="200"/>
      <c r="BD26" s="200"/>
      <c r="BE26" s="200"/>
      <c r="BF26" s="200"/>
      <c r="BG26" s="200"/>
      <c r="BH26" s="200"/>
      <c r="BI26" s="200"/>
      <c r="BJ26" s="200"/>
      <c r="BK26" s="200"/>
      <c r="BL26" s="200"/>
      <c r="BM26" s="200"/>
      <c r="BN26" s="200"/>
      <c r="BO26" s="200"/>
      <c r="BP26" s="200"/>
      <c r="BQ26" s="200"/>
      <c r="BR26" s="200"/>
      <c r="BS26" s="200"/>
      <c r="BT26" s="200"/>
      <c r="BU26" s="200"/>
      <c r="BV26" s="200"/>
      <c r="BW26" s="200"/>
      <c r="BX26" s="200"/>
      <c r="BY26" s="200"/>
      <c r="BZ26" s="200"/>
      <c r="CA26" s="200"/>
      <c r="CB26" s="200"/>
      <c r="CC26" s="200"/>
    </row>
    <row r="27" spans="1:81">
      <c r="A27" s="108">
        <f>IF(OR(A26=Abandonment!$B$4,A26=""),"",'Success Cash Flow'!A26+1)</f>
        <v>2040</v>
      </c>
      <c r="B27" s="109">
        <f>Revenue!N28</f>
        <v>234.67567010219025</v>
      </c>
      <c r="C27" s="109">
        <f>Revenue!O28</f>
        <v>2246.3997165834971</v>
      </c>
      <c r="D27" s="109">
        <f>Revenue!P28</f>
        <v>0</v>
      </c>
      <c r="E27" s="196">
        <f t="shared" si="8"/>
        <v>2481.0753866856876</v>
      </c>
      <c r="F27" s="196">
        <f>Exploration!S54</f>
        <v>0</v>
      </c>
      <c r="G27" s="196"/>
      <c r="H27" s="196">
        <f>Development!BI109</f>
        <v>0</v>
      </c>
      <c r="I27" s="196">
        <f>Abandonment!G33</f>
        <v>0</v>
      </c>
      <c r="J27" s="196">
        <f>Operations!M36</f>
        <v>389.40653100372413</v>
      </c>
      <c r="K27" s="196">
        <f t="shared" si="2"/>
        <v>389.40653100372413</v>
      </c>
      <c r="L27" s="196">
        <f t="shared" si="3"/>
        <v>2091.6688556819636</v>
      </c>
      <c r="M27" s="196">
        <f>Royalty!AM29</f>
        <v>718.45487090355675</v>
      </c>
      <c r="N27" s="196">
        <f>'Provincial Tax'!X27</f>
        <v>171.28286424357981</v>
      </c>
      <c r="O27" s="196">
        <f>'Federal Tax'!X28</f>
        <v>168.06003092829633</v>
      </c>
      <c r="P27" s="196">
        <f t="shared" si="4"/>
        <v>1057.7977660754329</v>
      </c>
      <c r="Q27" s="196">
        <f t="shared" si="5"/>
        <v>1033.8710896065306</v>
      </c>
      <c r="R27" s="203"/>
      <c r="S27" s="204"/>
      <c r="T27" s="196">
        <f t="shared" si="7"/>
        <v>12351.36445925885</v>
      </c>
      <c r="U27" s="207">
        <f t="shared" si="9"/>
        <v>0</v>
      </c>
      <c r="V27" s="64"/>
      <c r="W27" s="121"/>
      <c r="X27" s="64"/>
      <c r="Y27" s="64"/>
      <c r="Z27" s="122"/>
      <c r="AA27" s="122"/>
      <c r="AB27" s="200"/>
      <c r="AC27" s="200"/>
      <c r="AD27" s="200"/>
      <c r="AE27" s="200"/>
      <c r="AF27" s="200"/>
      <c r="AG27" s="200"/>
      <c r="AH27" s="200"/>
      <c r="AI27" s="200"/>
      <c r="AJ27" s="200"/>
      <c r="AK27" s="200"/>
      <c r="AL27" s="200"/>
      <c r="AM27" s="200"/>
      <c r="AN27" s="200"/>
      <c r="AO27" s="200"/>
      <c r="AP27" s="200"/>
      <c r="AQ27" s="200"/>
      <c r="AR27" s="200"/>
      <c r="AS27" s="200"/>
      <c r="AT27" s="200"/>
      <c r="AU27" s="200"/>
      <c r="AV27" s="200"/>
      <c r="AW27" s="200"/>
      <c r="AX27" s="200"/>
      <c r="AY27" s="200"/>
      <c r="AZ27" s="200"/>
      <c r="BA27" s="200"/>
      <c r="BB27" s="200"/>
      <c r="BC27" s="200"/>
      <c r="BD27" s="200"/>
      <c r="BE27" s="200"/>
      <c r="BF27" s="200"/>
      <c r="BG27" s="200"/>
      <c r="BH27" s="200"/>
      <c r="BI27" s="200"/>
      <c r="BJ27" s="200"/>
      <c r="BK27" s="200"/>
      <c r="BL27" s="200"/>
      <c r="BM27" s="200"/>
      <c r="BN27" s="200"/>
      <c r="BO27" s="200"/>
      <c r="BP27" s="200"/>
      <c r="BQ27" s="200"/>
      <c r="BR27" s="200"/>
      <c r="BS27" s="200"/>
      <c r="BT27" s="200"/>
      <c r="BU27" s="200"/>
      <c r="BV27" s="200"/>
      <c r="BW27" s="200"/>
      <c r="BX27" s="200"/>
      <c r="BY27" s="200"/>
      <c r="BZ27" s="200"/>
      <c r="CA27" s="200"/>
      <c r="CB27" s="64"/>
      <c r="CC27" s="64"/>
    </row>
    <row r="28" spans="1:81">
      <c r="A28" s="108">
        <f>IF(OR(A27=Abandonment!$B$4,A27=""),"",'Success Cash Flow'!A27+1)</f>
        <v>2041</v>
      </c>
      <c r="B28" s="109">
        <f>Revenue!N29</f>
        <v>204.85033966257731</v>
      </c>
      <c r="C28" s="109">
        <f>Revenue!O29</f>
        <v>1960.9009521935609</v>
      </c>
      <c r="D28" s="109">
        <f>Revenue!P29</f>
        <v>0</v>
      </c>
      <c r="E28" s="196">
        <f t="shared" si="8"/>
        <v>2165.7512918561383</v>
      </c>
      <c r="F28" s="196">
        <f>Exploration!S55</f>
        <v>0</v>
      </c>
      <c r="G28" s="196"/>
      <c r="H28" s="196">
        <f>Development!BI110</f>
        <v>0</v>
      </c>
      <c r="I28" s="196">
        <f>Abandonment!G34</f>
        <v>0</v>
      </c>
      <c r="J28" s="196">
        <f>Operations!M37</f>
        <v>373.80407713396335</v>
      </c>
      <c r="K28" s="196">
        <f t="shared" si="2"/>
        <v>373.80407713396335</v>
      </c>
      <c r="L28" s="196">
        <f t="shared" si="3"/>
        <v>1791.947214722175</v>
      </c>
      <c r="M28" s="196">
        <f>Royalty!AM30</f>
        <v>614.09838245307242</v>
      </c>
      <c r="N28" s="196">
        <f>'Provincial Tax'!X28</f>
        <v>149.32690208943083</v>
      </c>
      <c r="O28" s="196">
        <f>'Federal Tax'!X29</f>
        <v>148.40011666773572</v>
      </c>
      <c r="P28" s="196">
        <f t="shared" si="4"/>
        <v>911.82540121023897</v>
      </c>
      <c r="Q28" s="196">
        <f t="shared" si="5"/>
        <v>880.12181351193601</v>
      </c>
      <c r="R28" s="203"/>
      <c r="S28" s="204"/>
      <c r="T28" s="196">
        <f t="shared" si="7"/>
        <v>13231.486272770786</v>
      </c>
      <c r="U28" s="207">
        <f t="shared" si="9"/>
        <v>0</v>
      </c>
      <c r="V28" s="64"/>
      <c r="W28" s="121"/>
      <c r="X28" s="64"/>
      <c r="Y28" s="64"/>
      <c r="Z28" s="122"/>
      <c r="AA28" s="122"/>
      <c r="AB28" s="200"/>
      <c r="AC28" s="200"/>
      <c r="AD28" s="200"/>
      <c r="AE28" s="200"/>
      <c r="AF28" s="200"/>
      <c r="AG28" s="200"/>
      <c r="AH28" s="200"/>
      <c r="AI28" s="200"/>
      <c r="AJ28" s="200"/>
      <c r="AK28" s="200"/>
      <c r="AL28" s="200"/>
      <c r="AM28" s="200"/>
      <c r="AN28" s="200"/>
      <c r="AO28" s="200"/>
      <c r="AP28" s="200"/>
      <c r="AQ28" s="200"/>
      <c r="AR28" s="200"/>
      <c r="AS28" s="200"/>
      <c r="AT28" s="200"/>
      <c r="AU28" s="200"/>
      <c r="AV28" s="200"/>
      <c r="AW28" s="200"/>
      <c r="AX28" s="200"/>
      <c r="AY28" s="200"/>
      <c r="AZ28" s="200"/>
      <c r="BA28" s="200"/>
      <c r="BB28" s="200"/>
      <c r="BC28" s="200"/>
      <c r="BD28" s="200"/>
      <c r="BE28" s="200"/>
      <c r="BF28" s="200"/>
      <c r="BG28" s="200"/>
      <c r="BH28" s="200"/>
      <c r="BI28" s="200"/>
      <c r="BJ28" s="200"/>
      <c r="BK28" s="200"/>
      <c r="BL28" s="200"/>
      <c r="BM28" s="200"/>
      <c r="BN28" s="200"/>
      <c r="BO28" s="200"/>
      <c r="BP28" s="200"/>
      <c r="BQ28" s="200"/>
      <c r="BR28" s="200"/>
      <c r="BS28" s="200"/>
      <c r="BT28" s="200"/>
      <c r="BU28" s="200"/>
      <c r="BV28" s="200"/>
      <c r="BW28" s="200"/>
      <c r="BX28" s="200"/>
      <c r="BY28" s="200"/>
      <c r="BZ28" s="200"/>
      <c r="CA28" s="200"/>
      <c r="CB28" s="64"/>
      <c r="CC28" s="64"/>
    </row>
    <row r="29" spans="1:81">
      <c r="A29" s="108">
        <f>IF(OR(A28=Abandonment!$B$4,A28=""),"",'Success Cash Flow'!A28+1)</f>
        <v>2042</v>
      </c>
      <c r="B29" s="109">
        <f>Revenue!N30</f>
        <v>179.34647237458674</v>
      </c>
      <c r="C29" s="109">
        <f>Revenue!O30</f>
        <v>1716.768783645465</v>
      </c>
      <c r="D29" s="109">
        <f>Revenue!P30</f>
        <v>0</v>
      </c>
      <c r="E29" s="196">
        <f t="shared" si="8"/>
        <v>1896.1152560200517</v>
      </c>
      <c r="F29" s="196">
        <f>Exploration!S56</f>
        <v>0</v>
      </c>
      <c r="G29" s="196"/>
      <c r="H29" s="196">
        <f>Development!BI111</f>
        <v>0</v>
      </c>
      <c r="I29" s="196">
        <f>Abandonment!G35</f>
        <v>0</v>
      </c>
      <c r="J29" s="196">
        <f>Operations!M38</f>
        <v>361.34426446799074</v>
      </c>
      <c r="K29" s="196">
        <f t="shared" si="2"/>
        <v>361.34426446799074</v>
      </c>
      <c r="L29" s="196">
        <f t="shared" si="3"/>
        <v>1534.7709915520609</v>
      </c>
      <c r="M29" s="196">
        <f>Royalty!AM31</f>
        <v>524.52279778684158</v>
      </c>
      <c r="N29" s="196">
        <f>'Provincial Tax'!X29</f>
        <v>129.86316635951107</v>
      </c>
      <c r="O29" s="196">
        <f>'Federal Tax'!X30</f>
        <v>123.95025695077251</v>
      </c>
      <c r="P29" s="196">
        <f t="shared" si="4"/>
        <v>778.33622109712519</v>
      </c>
      <c r="Q29" s="196">
        <f t="shared" si="5"/>
        <v>756.43477045493569</v>
      </c>
      <c r="R29" s="203"/>
      <c r="S29" s="204"/>
      <c r="T29" s="196">
        <f t="shared" si="7"/>
        <v>13987.921043225722</v>
      </c>
      <c r="U29" s="207">
        <f t="shared" si="9"/>
        <v>0</v>
      </c>
      <c r="V29" s="64"/>
      <c r="W29" s="64"/>
      <c r="X29" s="64"/>
      <c r="Y29" s="64"/>
      <c r="Z29" s="122"/>
      <c r="AA29" s="122"/>
      <c r="AB29" s="200"/>
      <c r="AC29" s="200"/>
      <c r="AD29" s="200"/>
      <c r="AE29" s="200"/>
      <c r="AF29" s="200"/>
      <c r="AG29" s="200"/>
      <c r="AH29" s="200"/>
      <c r="AI29" s="200"/>
      <c r="AJ29" s="200"/>
      <c r="AK29" s="200"/>
      <c r="AL29" s="200"/>
      <c r="AM29" s="200"/>
      <c r="AN29" s="200"/>
      <c r="AO29" s="200"/>
      <c r="AP29" s="200"/>
      <c r="AQ29" s="200"/>
      <c r="AR29" s="200"/>
      <c r="AS29" s="200"/>
      <c r="AT29" s="200"/>
      <c r="AU29" s="200"/>
      <c r="AV29" s="200"/>
      <c r="AW29" s="200"/>
      <c r="AX29" s="200"/>
      <c r="AY29" s="200"/>
      <c r="AZ29" s="200"/>
      <c r="BA29" s="200"/>
      <c r="BB29" s="200"/>
      <c r="BC29" s="200"/>
      <c r="BD29" s="200"/>
      <c r="BE29" s="200"/>
      <c r="BF29" s="200"/>
      <c r="BG29" s="200"/>
      <c r="BH29" s="200"/>
      <c r="BI29" s="200"/>
      <c r="BJ29" s="200"/>
      <c r="BK29" s="200"/>
      <c r="BL29" s="200"/>
      <c r="BM29" s="200"/>
      <c r="BN29" s="200"/>
      <c r="BO29" s="200"/>
      <c r="BP29" s="200"/>
      <c r="BQ29" s="200"/>
      <c r="BR29" s="200"/>
      <c r="BS29" s="200"/>
      <c r="BT29" s="200"/>
      <c r="BU29" s="200"/>
      <c r="BV29" s="200"/>
      <c r="BW29" s="200"/>
      <c r="BX29" s="200"/>
      <c r="BY29" s="200"/>
      <c r="BZ29" s="200"/>
      <c r="CA29" s="200"/>
      <c r="CB29" s="64"/>
      <c r="CC29" s="64"/>
    </row>
    <row r="30" spans="1:81">
      <c r="A30" s="108">
        <f>IF(OR(A29=Abandonment!$B$4,A29=""),"",'Success Cash Flow'!A29+1)</f>
        <v>2043</v>
      </c>
      <c r="B30" s="109">
        <f>Revenue!N31</f>
        <v>157.01783656395048</v>
      </c>
      <c r="C30" s="109">
        <f>Revenue!O31</f>
        <v>1503.0310700816028</v>
      </c>
      <c r="D30" s="109">
        <f>Revenue!P31</f>
        <v>0</v>
      </c>
      <c r="E30" s="196">
        <f t="shared" si="8"/>
        <v>1660.0489066455534</v>
      </c>
      <c r="F30" s="196">
        <f>Exploration!S57</f>
        <v>0</v>
      </c>
      <c r="G30" s="196"/>
      <c r="H30" s="196">
        <f>Development!BI112</f>
        <v>0</v>
      </c>
      <c r="I30" s="196">
        <f>Abandonment!G36</f>
        <v>0</v>
      </c>
      <c r="J30" s="196">
        <f>Operations!M39</f>
        <v>351.45806232704751</v>
      </c>
      <c r="K30" s="196">
        <f t="shared" si="2"/>
        <v>351.45806232704751</v>
      </c>
      <c r="L30" s="196">
        <f t="shared" si="3"/>
        <v>1308.5908443185058</v>
      </c>
      <c r="M30" s="196">
        <f>Royalty!AM32</f>
        <v>445.70576333003038</v>
      </c>
      <c r="N30" s="196">
        <f>'Provincial Tax'!X30</f>
        <v>112.20038480016592</v>
      </c>
      <c r="O30" s="196">
        <f>'Federal Tax'!X31</f>
        <v>108.82306060293578</v>
      </c>
      <c r="P30" s="196">
        <f t="shared" si="4"/>
        <v>666.72920873313205</v>
      </c>
      <c r="Q30" s="196">
        <f t="shared" si="5"/>
        <v>641.86163558537373</v>
      </c>
      <c r="R30" s="203"/>
      <c r="S30" s="204"/>
      <c r="T30" s="196">
        <f t="shared" si="7"/>
        <v>14629.782678811096</v>
      </c>
      <c r="U30" s="207">
        <f t="shared" si="9"/>
        <v>0</v>
      </c>
      <c r="V30" s="64"/>
      <c r="W30" s="64"/>
      <c r="X30" s="64"/>
      <c r="Y30" s="64"/>
      <c r="Z30" s="122"/>
      <c r="AA30" s="122"/>
      <c r="AB30" s="200"/>
      <c r="AC30" s="200"/>
      <c r="AD30" s="200"/>
      <c r="AE30" s="200"/>
      <c r="AF30" s="200"/>
      <c r="AG30" s="200"/>
      <c r="AH30" s="200"/>
      <c r="AI30" s="200"/>
      <c r="AJ30" s="200"/>
      <c r="AK30" s="200"/>
      <c r="AL30" s="200"/>
      <c r="AM30" s="200"/>
      <c r="AN30" s="200"/>
      <c r="AO30" s="200"/>
      <c r="AP30" s="200"/>
      <c r="AQ30" s="200"/>
      <c r="AR30" s="200"/>
      <c r="AS30" s="200"/>
      <c r="AT30" s="200"/>
      <c r="AU30" s="200"/>
      <c r="AV30" s="200"/>
      <c r="AW30" s="200"/>
      <c r="AX30" s="200"/>
      <c r="AY30" s="200"/>
      <c r="AZ30" s="200"/>
      <c r="BA30" s="200"/>
      <c r="BB30" s="200"/>
      <c r="BC30" s="200"/>
      <c r="BD30" s="200"/>
      <c r="BE30" s="200"/>
      <c r="BF30" s="200"/>
      <c r="BG30" s="200"/>
      <c r="BH30" s="200"/>
      <c r="BI30" s="200"/>
      <c r="BJ30" s="200"/>
      <c r="BK30" s="200"/>
      <c r="BL30" s="200"/>
      <c r="BM30" s="200"/>
      <c r="BN30" s="200"/>
      <c r="BO30" s="200"/>
      <c r="BP30" s="200"/>
      <c r="BQ30" s="200"/>
      <c r="BR30" s="200"/>
      <c r="BS30" s="200"/>
      <c r="BT30" s="200"/>
      <c r="BU30" s="200"/>
      <c r="BV30" s="200"/>
      <c r="BW30" s="200"/>
      <c r="BX30" s="200"/>
      <c r="BY30" s="200"/>
      <c r="BZ30" s="200"/>
      <c r="CA30" s="200"/>
      <c r="CB30" s="64"/>
      <c r="CC30" s="64"/>
    </row>
    <row r="31" spans="1:81">
      <c r="A31" s="108">
        <f>IF(OR(A30=Abandonment!$B$4,A30=""),"",'Success Cash Flow'!A30+1)</f>
        <v>2044</v>
      </c>
      <c r="B31" s="109">
        <f>Revenue!N32</f>
        <v>137.81589045790599</v>
      </c>
      <c r="C31" s="109">
        <f>Revenue!O32</f>
        <v>1319.2231522361501</v>
      </c>
      <c r="D31" s="109">
        <f>Revenue!P32</f>
        <v>0</v>
      </c>
      <c r="E31" s="196">
        <f t="shared" si="8"/>
        <v>1457.0390426940562</v>
      </c>
      <c r="F31" s="196">
        <f>Exploration!S58</f>
        <v>0</v>
      </c>
      <c r="G31" s="196"/>
      <c r="H31" s="196">
        <f>Development!BI113</f>
        <v>0</v>
      </c>
      <c r="I31" s="196">
        <f>Abandonment!G37</f>
        <v>0</v>
      </c>
      <c r="J31" s="196">
        <f>Operations!M40</f>
        <v>343.94917088795296</v>
      </c>
      <c r="K31" s="196">
        <f t="shared" si="2"/>
        <v>343.94917088795296</v>
      </c>
      <c r="L31" s="196">
        <f t="shared" si="3"/>
        <v>1113.0898718061032</v>
      </c>
      <c r="M31" s="196">
        <f>Royalty!AM33</f>
        <v>377.54323415105779</v>
      </c>
      <c r="N31" s="196">
        <f>'Provincial Tax'!X31</f>
        <v>96.576495694286734</v>
      </c>
      <c r="O31" s="196">
        <f>'Federal Tax'!X32</f>
        <v>90.060509771644732</v>
      </c>
      <c r="P31" s="196">
        <f t="shared" si="4"/>
        <v>564.1802396169893</v>
      </c>
      <c r="Q31" s="196">
        <f t="shared" si="5"/>
        <v>548.90963218911395</v>
      </c>
      <c r="R31" s="203"/>
      <c r="S31" s="204"/>
      <c r="T31" s="196">
        <f t="shared" si="7"/>
        <v>15178.69231100021</v>
      </c>
      <c r="U31" s="207">
        <f t="shared" si="9"/>
        <v>0</v>
      </c>
      <c r="V31" s="64"/>
      <c r="W31" s="64"/>
      <c r="X31" s="64"/>
      <c r="Y31" s="64"/>
      <c r="Z31" s="122"/>
      <c r="AA31" s="122"/>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64"/>
      <c r="CC31" s="64"/>
    </row>
    <row r="32" spans="1:81">
      <c r="A32" s="108">
        <f>IF(OR(A31=Abandonment!$B$4,A31=""),"",'Success Cash Flow'!A31+1)</f>
        <v>2045</v>
      </c>
      <c r="B32" s="109">
        <f>Revenue!N33</f>
        <v>120.30063431334459</v>
      </c>
      <c r="C32" s="109">
        <f>Revenue!O33</f>
        <v>1151.5608358916536</v>
      </c>
      <c r="D32" s="109">
        <f>Revenue!P33</f>
        <v>0</v>
      </c>
      <c r="E32" s="196">
        <f t="shared" si="8"/>
        <v>1271.8614702049981</v>
      </c>
      <c r="F32" s="196">
        <f>Exploration!S59</f>
        <v>0</v>
      </c>
      <c r="G32" s="196"/>
      <c r="H32" s="196">
        <f>Development!BI114</f>
        <v>0</v>
      </c>
      <c r="I32" s="196">
        <f>Abandonment!G38</f>
        <v>0</v>
      </c>
      <c r="J32" s="196">
        <f>Operations!M41</f>
        <v>338.24443275876462</v>
      </c>
      <c r="K32" s="196">
        <f t="shared" si="2"/>
        <v>338.24443275876462</v>
      </c>
      <c r="L32" s="196">
        <f t="shared" si="3"/>
        <v>933.61703744623355</v>
      </c>
      <c r="M32" s="196">
        <f>Royalty!AM34</f>
        <v>314.92740795962493</v>
      </c>
      <c r="N32" s="196">
        <f>'Provincial Tax'!X32</f>
        <v>81.853350873432603</v>
      </c>
      <c r="O32" s="196">
        <f>'Federal Tax'!X33</f>
        <v>77.63928851021663</v>
      </c>
      <c r="P32" s="196">
        <f t="shared" si="4"/>
        <v>474.42004734327418</v>
      </c>
      <c r="Q32" s="196">
        <f t="shared" si="5"/>
        <v>459.19699010295938</v>
      </c>
      <c r="R32" s="203"/>
      <c r="S32" s="204"/>
      <c r="T32" s="196">
        <f t="shared" si="7"/>
        <v>15637.889301103169</v>
      </c>
      <c r="U32" s="207">
        <f t="shared" si="9"/>
        <v>0</v>
      </c>
      <c r="V32" s="64"/>
      <c r="W32" s="64"/>
      <c r="X32" s="64"/>
      <c r="Y32" s="64"/>
      <c r="Z32" s="122"/>
      <c r="AA32" s="122"/>
      <c r="AB32" s="200"/>
      <c r="AC32" s="200"/>
      <c r="AD32" s="200"/>
      <c r="AE32" s="200"/>
      <c r="AF32" s="200"/>
      <c r="AG32" s="200"/>
      <c r="AH32" s="200"/>
      <c r="AI32" s="200"/>
      <c r="AJ32" s="200"/>
      <c r="AK32" s="200"/>
      <c r="AL32" s="200"/>
      <c r="AM32" s="200"/>
      <c r="AN32" s="200"/>
      <c r="AO32" s="200"/>
      <c r="AP32" s="200"/>
      <c r="AQ32" s="200"/>
      <c r="AR32" s="200"/>
      <c r="AS32" s="200"/>
      <c r="AT32" s="200"/>
      <c r="AU32" s="200"/>
      <c r="AV32" s="200"/>
      <c r="AW32" s="200"/>
      <c r="AX32" s="200"/>
      <c r="AY32" s="200"/>
      <c r="AZ32" s="200"/>
      <c r="BA32" s="200"/>
      <c r="BB32" s="200"/>
      <c r="BC32" s="200"/>
      <c r="BD32" s="200"/>
      <c r="BE32" s="200"/>
      <c r="BF32" s="200"/>
      <c r="BG32" s="200"/>
      <c r="BH32" s="200"/>
      <c r="BI32" s="200"/>
      <c r="BJ32" s="200"/>
      <c r="BK32" s="200"/>
      <c r="BL32" s="200"/>
      <c r="BM32" s="200"/>
      <c r="BN32" s="200"/>
      <c r="BO32" s="200"/>
      <c r="BP32" s="200"/>
      <c r="BQ32" s="200"/>
      <c r="BR32" s="200"/>
      <c r="BS32" s="200"/>
      <c r="BT32" s="200"/>
      <c r="BU32" s="200"/>
      <c r="BV32" s="200"/>
      <c r="BW32" s="200"/>
      <c r="BX32" s="200"/>
      <c r="BY32" s="200"/>
      <c r="BZ32" s="200"/>
      <c r="CA32" s="200"/>
      <c r="CB32" s="64"/>
      <c r="CC32" s="64"/>
    </row>
    <row r="33" spans="1:81">
      <c r="A33" s="108">
        <f>IF(OR(A32=Abandonment!$B$4,A32=""),"",'Success Cash Flow'!A32+1)</f>
        <v>2046</v>
      </c>
      <c r="B33" s="109">
        <f>Revenue!N34</f>
        <v>105.32320534133297</v>
      </c>
      <c r="C33" s="109">
        <f>Revenue!O34</f>
        <v>1008.1915118231406</v>
      </c>
      <c r="D33" s="109">
        <f>Revenue!P34</f>
        <v>0</v>
      </c>
      <c r="E33" s="196">
        <f t="shared" si="8"/>
        <v>1113.5147171644735</v>
      </c>
      <c r="F33" s="196">
        <f>Exploration!S60</f>
        <v>0</v>
      </c>
      <c r="G33" s="196"/>
      <c r="H33" s="196">
        <f>Development!BI115</f>
        <v>0</v>
      </c>
      <c r="I33" s="196">
        <f>Abandonment!G39</f>
        <v>0</v>
      </c>
      <c r="J33" s="196">
        <f>Operations!M42</f>
        <v>334.48898481630653</v>
      </c>
      <c r="K33" s="196">
        <f t="shared" si="2"/>
        <v>334.48898481630653</v>
      </c>
      <c r="L33" s="196">
        <f t="shared" si="3"/>
        <v>779.02573234816691</v>
      </c>
      <c r="M33" s="196">
        <f>Royalty!AM35</f>
        <v>260.95189185328769</v>
      </c>
      <c r="N33" s="196">
        <f>'Provincial Tax'!X33</f>
        <v>68.983719278124113</v>
      </c>
      <c r="O33" s="196">
        <f>'Federal Tax'!X34</f>
        <v>62.71264583913171</v>
      </c>
      <c r="P33" s="196">
        <f t="shared" si="4"/>
        <v>392.64825697054351</v>
      </c>
      <c r="Q33" s="196">
        <f t="shared" si="5"/>
        <v>386.3774753776234</v>
      </c>
      <c r="R33" s="203"/>
      <c r="S33" s="204"/>
      <c r="T33" s="196">
        <f t="shared" si="7"/>
        <v>16024.266776480792</v>
      </c>
      <c r="U33" s="207">
        <f t="shared" si="9"/>
        <v>0</v>
      </c>
      <c r="V33" s="64"/>
      <c r="W33" s="64"/>
      <c r="X33" s="64"/>
      <c r="Y33" s="64"/>
      <c r="Z33" s="122"/>
      <c r="AA33" s="122"/>
      <c r="AB33" s="200"/>
      <c r="AC33" s="200"/>
      <c r="AD33" s="200"/>
      <c r="AE33" s="200"/>
      <c r="AF33" s="200"/>
      <c r="AG33" s="200"/>
      <c r="AH33" s="200"/>
      <c r="AI33" s="200"/>
      <c r="AJ33" s="200"/>
      <c r="AK33" s="200"/>
      <c r="AL33" s="200"/>
      <c r="AM33" s="200"/>
      <c r="AN33" s="200"/>
      <c r="AO33" s="200"/>
      <c r="AP33" s="200"/>
      <c r="AQ33" s="200"/>
      <c r="AR33" s="200"/>
      <c r="AS33" s="200"/>
      <c r="AT33" s="200"/>
      <c r="AU33" s="200"/>
      <c r="AV33" s="200"/>
      <c r="AW33" s="200"/>
      <c r="AX33" s="200"/>
      <c r="AY33" s="200"/>
      <c r="AZ33" s="200"/>
      <c r="BA33" s="200"/>
      <c r="BB33" s="200"/>
      <c r="BC33" s="200"/>
      <c r="BD33" s="200"/>
      <c r="BE33" s="200"/>
      <c r="BF33" s="200"/>
      <c r="BG33" s="200"/>
      <c r="BH33" s="200"/>
      <c r="BI33" s="200"/>
      <c r="BJ33" s="200"/>
      <c r="BK33" s="200"/>
      <c r="BL33" s="200"/>
      <c r="BM33" s="200"/>
      <c r="BN33" s="200"/>
      <c r="BO33" s="200"/>
      <c r="BP33" s="200"/>
      <c r="BQ33" s="200"/>
      <c r="BR33" s="200"/>
      <c r="BS33" s="200"/>
      <c r="BT33" s="200"/>
      <c r="BU33" s="200"/>
      <c r="BV33" s="200"/>
      <c r="BW33" s="200"/>
      <c r="BX33" s="200"/>
      <c r="BY33" s="200"/>
      <c r="BZ33" s="200"/>
      <c r="CA33" s="200"/>
      <c r="CB33" s="64"/>
      <c r="CC33" s="64"/>
    </row>
    <row r="34" spans="1:81">
      <c r="A34" s="108">
        <f>IF(OR(A33=Abandonment!$B$4,A33=""),"",'Success Cash Flow'!A33+1)</f>
        <v>2047</v>
      </c>
      <c r="B34" s="109">
        <f>Revenue!N35</f>
        <v>92.210466276336888</v>
      </c>
      <c r="C34" s="109">
        <f>Revenue!O35</f>
        <v>882.67166860115844</v>
      </c>
      <c r="D34" s="109">
        <f>Revenue!P35</f>
        <v>0</v>
      </c>
      <c r="E34" s="196">
        <f t="shared" si="8"/>
        <v>974.88213487749533</v>
      </c>
      <c r="F34" s="196">
        <f>Exploration!S61</f>
        <v>0</v>
      </c>
      <c r="G34" s="196"/>
      <c r="H34" s="196">
        <f>Development!BI116</f>
        <v>0</v>
      </c>
      <c r="I34" s="196">
        <f>Abandonment!G40</f>
        <v>0</v>
      </c>
      <c r="J34" s="196">
        <f>Operations!M43</f>
        <v>332.35176966076489</v>
      </c>
      <c r="K34" s="196">
        <f t="shared" si="2"/>
        <v>332.35176966076489</v>
      </c>
      <c r="L34" s="196">
        <f t="shared" si="3"/>
        <v>642.53036521673039</v>
      </c>
      <c r="M34" s="196">
        <f>Royalty!AM36</f>
        <v>213.25331588772886</v>
      </c>
      <c r="N34" s="196">
        <f>'Provincial Tax'!X34</f>
        <v>57.456868797593323</v>
      </c>
      <c r="O34" s="196">
        <f>'Federal Tax'!X35</f>
        <v>53.162069385420459</v>
      </c>
      <c r="P34" s="196">
        <f t="shared" si="4"/>
        <v>323.87225407074266</v>
      </c>
      <c r="Q34" s="196">
        <f t="shared" si="5"/>
        <v>318.65811114598773</v>
      </c>
      <c r="R34" s="203"/>
      <c r="S34" s="204"/>
      <c r="T34" s="196">
        <f t="shared" si="7"/>
        <v>16342.924887626779</v>
      </c>
      <c r="U34" s="207">
        <f t="shared" si="9"/>
        <v>0</v>
      </c>
      <c r="V34" s="64"/>
      <c r="W34" s="64"/>
      <c r="X34" s="64"/>
      <c r="Y34" s="64"/>
      <c r="Z34" s="122"/>
      <c r="AA34" s="122"/>
      <c r="AB34" s="200"/>
      <c r="AC34" s="200"/>
      <c r="AD34" s="200"/>
      <c r="AE34" s="200"/>
      <c r="AF34" s="200"/>
      <c r="AG34" s="200"/>
      <c r="AH34" s="200"/>
      <c r="AI34" s="200"/>
      <c r="AJ34" s="200"/>
      <c r="AK34" s="200"/>
      <c r="AL34" s="200"/>
      <c r="AM34" s="200"/>
      <c r="AN34" s="200"/>
      <c r="AO34" s="200"/>
      <c r="AP34" s="200"/>
      <c r="AQ34" s="200"/>
      <c r="AR34" s="200"/>
      <c r="AS34" s="200"/>
      <c r="AT34" s="200"/>
      <c r="AU34" s="200"/>
      <c r="AV34" s="200"/>
      <c r="AW34" s="200"/>
      <c r="AX34" s="200"/>
      <c r="AY34" s="200"/>
      <c r="AZ34" s="200"/>
      <c r="BA34" s="200"/>
      <c r="BB34" s="200"/>
      <c r="BC34" s="200"/>
      <c r="BD34" s="200"/>
      <c r="BE34" s="200"/>
      <c r="BF34" s="200"/>
      <c r="BG34" s="200"/>
      <c r="BH34" s="200"/>
      <c r="BI34" s="200"/>
      <c r="BJ34" s="200"/>
      <c r="BK34" s="200"/>
      <c r="BL34" s="200"/>
      <c r="BM34" s="200"/>
      <c r="BN34" s="200"/>
      <c r="BO34" s="200"/>
      <c r="BP34" s="200"/>
      <c r="BQ34" s="200"/>
      <c r="BR34" s="200"/>
      <c r="BS34" s="200"/>
      <c r="BT34" s="200"/>
      <c r="BU34" s="200"/>
      <c r="BV34" s="200"/>
      <c r="BW34" s="200"/>
      <c r="BX34" s="200"/>
      <c r="BY34" s="200"/>
      <c r="BZ34" s="200"/>
      <c r="CA34" s="200"/>
      <c r="CB34" s="64"/>
      <c r="CC34" s="64"/>
    </row>
    <row r="35" spans="1:81">
      <c r="A35" s="108">
        <f>IF(OR(A34=Abandonment!$B$4,A34=""),"",'Success Cash Flow'!A34+1)</f>
        <v>2048</v>
      </c>
      <c r="B35" s="109">
        <f>Revenue!N36</f>
        <v>80.933910423841354</v>
      </c>
      <c r="C35" s="109">
        <f>Revenue!O36</f>
        <v>774.72842991751816</v>
      </c>
      <c r="D35" s="109">
        <f>Revenue!P36</f>
        <v>0</v>
      </c>
      <c r="E35" s="196">
        <f t="shared" si="8"/>
        <v>855.66234034135948</v>
      </c>
      <c r="F35" s="196">
        <f>Exploration!S62</f>
        <v>0</v>
      </c>
      <c r="G35" s="196"/>
      <c r="H35" s="196">
        <f>Development!BE117</f>
        <v>0</v>
      </c>
      <c r="I35" s="196">
        <f>Abandonment!G41</f>
        <v>0</v>
      </c>
      <c r="J35" s="196">
        <f>Operations!M44</f>
        <v>331.72071358721138</v>
      </c>
      <c r="K35" s="196">
        <f t="shared" si="2"/>
        <v>331.72071358721138</v>
      </c>
      <c r="L35" s="196">
        <f t="shared" si="3"/>
        <v>523.94162675414805</v>
      </c>
      <c r="M35" s="196">
        <f>Royalty!AM37</f>
        <v>171.76934438839942</v>
      </c>
      <c r="N35" s="196">
        <f>'Provincial Tax'!X35</f>
        <v>47.335312929286268</v>
      </c>
      <c r="O35" s="196">
        <f>'Federal Tax'!X36</f>
        <v>41.677559922993019</v>
      </c>
      <c r="P35" s="196">
        <f t="shared" si="4"/>
        <v>260.78221724067868</v>
      </c>
      <c r="Q35" s="196">
        <f t="shared" si="5"/>
        <v>263.15940951346937</v>
      </c>
      <c r="R35" s="203"/>
      <c r="S35" s="204"/>
      <c r="T35" s="196">
        <f t="shared" si="7"/>
        <v>16606.084297140249</v>
      </c>
      <c r="U35" s="207">
        <f t="shared" si="9"/>
        <v>0</v>
      </c>
      <c r="V35" s="64"/>
      <c r="W35" s="64"/>
      <c r="X35" s="64"/>
      <c r="Y35" s="64"/>
      <c r="Z35" s="122"/>
      <c r="AA35" s="122"/>
      <c r="AB35" s="200"/>
      <c r="AC35" s="200"/>
      <c r="AD35" s="200"/>
      <c r="AE35" s="200"/>
      <c r="AF35" s="200"/>
      <c r="AG35" s="200"/>
      <c r="AH35" s="200"/>
      <c r="AI35" s="200"/>
      <c r="AJ35" s="200"/>
      <c r="AK35" s="200"/>
      <c r="AL35" s="200"/>
      <c r="AM35" s="200"/>
      <c r="AN35" s="200"/>
      <c r="AO35" s="200"/>
      <c r="AP35" s="200"/>
      <c r="AQ35" s="200"/>
      <c r="AR35" s="200"/>
      <c r="AS35" s="200"/>
      <c r="AT35" s="200"/>
      <c r="AU35" s="200"/>
      <c r="AV35" s="200"/>
      <c r="AW35" s="200"/>
      <c r="AX35" s="200"/>
      <c r="AY35" s="200"/>
      <c r="AZ35" s="200"/>
      <c r="BA35" s="200"/>
      <c r="BB35" s="200"/>
      <c r="BC35" s="200"/>
      <c r="BD35" s="200"/>
      <c r="BE35" s="200"/>
      <c r="BF35" s="200"/>
      <c r="BG35" s="200"/>
      <c r="BH35" s="200"/>
      <c r="BI35" s="200"/>
      <c r="BJ35" s="200"/>
      <c r="BK35" s="200"/>
      <c r="BL35" s="200"/>
      <c r="BM35" s="200"/>
      <c r="BN35" s="200"/>
      <c r="BO35" s="200"/>
      <c r="BP35" s="200"/>
      <c r="BQ35" s="200"/>
      <c r="BR35" s="200"/>
      <c r="BS35" s="200"/>
      <c r="BT35" s="200"/>
      <c r="BU35" s="200"/>
      <c r="BV35" s="200"/>
      <c r="BW35" s="200"/>
      <c r="BX35" s="200"/>
      <c r="BY35" s="200"/>
      <c r="BZ35" s="200"/>
      <c r="CA35" s="200"/>
      <c r="CB35" s="64"/>
      <c r="CC35" s="64"/>
    </row>
    <row r="36" spans="1:81">
      <c r="A36" s="108">
        <f>IF(OR(A35=Abandonment!$B$4,A35=""),"",'Success Cash Flow'!A35+1)</f>
        <v>2049</v>
      </c>
      <c r="B36" s="109">
        <f>Revenue!N37</f>
        <v>70.647881961197513</v>
      </c>
      <c r="C36" s="109">
        <f>Revenue!O37</f>
        <v>676.26687481386796</v>
      </c>
      <c r="D36" s="109">
        <f>Revenue!P37</f>
        <v>0</v>
      </c>
      <c r="E36" s="196">
        <f t="shared" si="8"/>
        <v>746.91475677506548</v>
      </c>
      <c r="F36" s="196">
        <f>Exploration!S63</f>
        <v>0</v>
      </c>
      <c r="G36" s="196"/>
      <c r="H36" s="196">
        <f>Development!BD118</f>
        <v>0</v>
      </c>
      <c r="I36" s="196">
        <f>Abandonment!G42</f>
        <v>0</v>
      </c>
      <c r="J36" s="196">
        <f>Operations!M45</f>
        <v>332.26252526940027</v>
      </c>
      <c r="K36" s="196">
        <f t="shared" si="2"/>
        <v>332.26252526940027</v>
      </c>
      <c r="L36" s="196">
        <f t="shared" si="3"/>
        <v>414.65223150566521</v>
      </c>
      <c r="M36" s="196">
        <f>Royalty!AM38</f>
        <v>133.49909264255379</v>
      </c>
      <c r="N36" s="196">
        <f>'Provincial Tax'!X36</f>
        <v>37.893676874998839</v>
      </c>
      <c r="O36" s="196">
        <f>'Federal Tax'!X37</f>
        <v>33.821232990138483</v>
      </c>
      <c r="P36" s="196">
        <f t="shared" si="4"/>
        <v>205.21400250769113</v>
      </c>
      <c r="Q36" s="196">
        <f t="shared" si="5"/>
        <v>209.43822899797408</v>
      </c>
      <c r="R36" s="203"/>
      <c r="S36" s="204"/>
      <c r="T36" s="196">
        <f t="shared" si="7"/>
        <v>16815.522526138222</v>
      </c>
      <c r="U36" s="207">
        <f t="shared" si="9"/>
        <v>0</v>
      </c>
      <c r="V36" s="64"/>
      <c r="W36" s="64"/>
      <c r="X36" s="64"/>
      <c r="Y36" s="64"/>
      <c r="Z36" s="122"/>
      <c r="AA36" s="122"/>
      <c r="AB36" s="200"/>
      <c r="AC36" s="200"/>
      <c r="AD36" s="200"/>
      <c r="AE36" s="200"/>
      <c r="AF36" s="200"/>
      <c r="AG36" s="200"/>
      <c r="AH36" s="200"/>
      <c r="AI36" s="200"/>
      <c r="AJ36" s="200"/>
      <c r="AK36" s="200"/>
      <c r="AL36" s="200"/>
      <c r="AM36" s="200"/>
      <c r="AN36" s="200"/>
      <c r="AO36" s="200"/>
      <c r="AP36" s="200"/>
      <c r="AQ36" s="200"/>
      <c r="AR36" s="200"/>
      <c r="AS36" s="200"/>
      <c r="AT36" s="200"/>
      <c r="AU36" s="200"/>
      <c r="AV36" s="200"/>
      <c r="AW36" s="200"/>
      <c r="AX36" s="200"/>
      <c r="AY36" s="200"/>
      <c r="AZ36" s="200"/>
      <c r="BA36" s="200"/>
      <c r="BB36" s="200"/>
      <c r="BC36" s="200"/>
      <c r="BD36" s="200"/>
      <c r="BE36" s="200"/>
      <c r="BF36" s="200"/>
      <c r="BG36" s="200"/>
      <c r="BH36" s="200"/>
      <c r="BI36" s="200"/>
      <c r="BJ36" s="200"/>
      <c r="BK36" s="200"/>
      <c r="BL36" s="200"/>
      <c r="BM36" s="200"/>
      <c r="BN36" s="200"/>
      <c r="BO36" s="200"/>
      <c r="BP36" s="200"/>
      <c r="BQ36" s="200"/>
      <c r="BR36" s="200"/>
      <c r="BS36" s="200"/>
      <c r="BT36" s="200"/>
      <c r="BU36" s="200"/>
      <c r="BV36" s="200"/>
      <c r="BW36" s="200"/>
      <c r="BX36" s="200"/>
      <c r="BY36" s="200"/>
      <c r="BZ36" s="200"/>
      <c r="CA36" s="200"/>
      <c r="CB36" s="64"/>
      <c r="CC36" s="64"/>
    </row>
    <row r="37" spans="1:81">
      <c r="A37" s="108">
        <f>IF(OR(A36=Abandonment!$B$4,A36=""),"",'Success Cash Flow'!A36+1)</f>
        <v>2050</v>
      </c>
      <c r="B37" s="109">
        <f>Revenue!N38</f>
        <v>61.85222065702861</v>
      </c>
      <c r="C37" s="109">
        <f>Revenue!O38</f>
        <v>592.07164889954311</v>
      </c>
      <c r="D37" s="109">
        <f>Revenue!P38</f>
        <v>0</v>
      </c>
      <c r="E37" s="196">
        <f t="shared" si="8"/>
        <v>653.92386955657173</v>
      </c>
      <c r="F37" s="196">
        <f>Exploration!S64</f>
        <v>0</v>
      </c>
      <c r="G37" s="196"/>
      <c r="H37" s="196">
        <f>Development!BD119</f>
        <v>0</v>
      </c>
      <c r="I37" s="196">
        <f>Abandonment!G43</f>
        <v>0</v>
      </c>
      <c r="J37" s="196">
        <f>Operations!M46</f>
        <v>334.06583870955592</v>
      </c>
      <c r="K37" s="196">
        <f t="shared" si="2"/>
        <v>334.06583870955592</v>
      </c>
      <c r="L37" s="196">
        <f t="shared" si="3"/>
        <v>319.85803084701581</v>
      </c>
      <c r="M37" s="196">
        <f>Royalty!AM39</f>
        <v>100.25800644162105</v>
      </c>
      <c r="N37" s="196">
        <f>'Provincial Tax'!X37</f>
        <v>29.6493711622992</v>
      </c>
      <c r="O37" s="196">
        <f>'Federal Tax'!X38</f>
        <v>24.628056556690627</v>
      </c>
      <c r="P37" s="196">
        <f t="shared" si="4"/>
        <v>154.53543416061089</v>
      </c>
      <c r="Q37" s="196">
        <f t="shared" si="5"/>
        <v>165.32259668640492</v>
      </c>
      <c r="R37" s="203"/>
      <c r="S37" s="204"/>
      <c r="T37" s="196">
        <f t="shared" si="7"/>
        <v>16980.845122824627</v>
      </c>
      <c r="U37" s="207">
        <f t="shared" si="9"/>
        <v>0</v>
      </c>
      <c r="V37" s="64"/>
      <c r="W37" s="64"/>
      <c r="X37" s="64"/>
      <c r="Y37" s="64"/>
      <c r="Z37" s="122"/>
      <c r="AA37" s="122"/>
      <c r="AB37" s="200"/>
      <c r="AC37" s="200"/>
      <c r="AD37" s="200"/>
      <c r="AE37" s="200"/>
      <c r="AF37" s="200"/>
      <c r="AG37" s="200"/>
      <c r="AH37" s="200"/>
      <c r="AI37" s="200"/>
      <c r="AJ37" s="200"/>
      <c r="AK37" s="200"/>
      <c r="AL37" s="200"/>
      <c r="AM37" s="200"/>
      <c r="AN37" s="200"/>
      <c r="AO37" s="200"/>
      <c r="AP37" s="200"/>
      <c r="AQ37" s="200"/>
      <c r="AR37" s="200"/>
      <c r="AS37" s="200"/>
      <c r="AT37" s="200"/>
      <c r="AU37" s="200"/>
      <c r="AV37" s="200"/>
      <c r="AW37" s="200"/>
      <c r="AX37" s="200"/>
      <c r="AY37" s="200"/>
      <c r="AZ37" s="200"/>
      <c r="BA37" s="200"/>
      <c r="BB37" s="200"/>
      <c r="BC37" s="200"/>
      <c r="BD37" s="200"/>
      <c r="BE37" s="200"/>
      <c r="BF37" s="200"/>
      <c r="BG37" s="200"/>
      <c r="BH37" s="200"/>
      <c r="BI37" s="200"/>
      <c r="BJ37" s="200"/>
      <c r="BK37" s="200"/>
      <c r="BL37" s="200"/>
      <c r="BM37" s="200"/>
      <c r="BN37" s="200"/>
      <c r="BO37" s="200"/>
      <c r="BP37" s="200"/>
      <c r="BQ37" s="200"/>
      <c r="BR37" s="200"/>
      <c r="BS37" s="200"/>
      <c r="BT37" s="200"/>
      <c r="BU37" s="200"/>
      <c r="BV37" s="200"/>
      <c r="BW37" s="200"/>
      <c r="BX37" s="200"/>
      <c r="BY37" s="200"/>
      <c r="BZ37" s="200"/>
      <c r="CA37" s="200"/>
      <c r="CB37" s="64"/>
      <c r="CC37" s="64"/>
    </row>
    <row r="38" spans="1:81">
      <c r="A38" s="108">
        <f>IF(OR(A37=Abandonment!$B$4,A37=""),"",'Success Cash Flow'!A37+1)</f>
        <v>2051</v>
      </c>
      <c r="B38" s="109">
        <f>Revenue!N39</f>
        <v>54.151619185228498</v>
      </c>
      <c r="C38" s="109">
        <f>Revenue!O39</f>
        <v>518.35872861154951</v>
      </c>
      <c r="D38" s="109">
        <f>Revenue!P39</f>
        <v>0</v>
      </c>
      <c r="E38" s="196">
        <f t="shared" si="8"/>
        <v>572.51034779677798</v>
      </c>
      <c r="F38" s="196">
        <f>Exploration!S65</f>
        <v>0</v>
      </c>
      <c r="G38" s="196"/>
      <c r="H38" s="196">
        <f>Development!BD120</f>
        <v>0</v>
      </c>
      <c r="I38" s="196">
        <f>Abandonment!G44</f>
        <v>0</v>
      </c>
      <c r="J38" s="196">
        <f>Operations!M47</f>
        <v>336.93973956149796</v>
      </c>
      <c r="K38" s="196">
        <f t="shared" si="2"/>
        <v>336.93973956149796</v>
      </c>
      <c r="L38" s="196">
        <f t="shared" si="3"/>
        <v>235.57060823528002</v>
      </c>
      <c r="M38" s="196">
        <f>Royalty!AM40</f>
        <v>70.656821997695559</v>
      </c>
      <c r="N38" s="196">
        <f>'Provincial Tax'!X38</f>
        <v>22.271288651364824</v>
      </c>
      <c r="O38" s="196">
        <f>'Federal Tax'!X39</f>
        <v>18.507749859989854</v>
      </c>
      <c r="P38" s="196">
        <f t="shared" si="4"/>
        <v>111.43586050905024</v>
      </c>
      <c r="Q38" s="196">
        <f t="shared" si="5"/>
        <v>124.13474772622978</v>
      </c>
      <c r="R38" s="203"/>
      <c r="S38" s="204"/>
      <c r="T38" s="196">
        <f t="shared" si="7"/>
        <v>17104.979870550858</v>
      </c>
      <c r="U38" s="207">
        <f t="shared" si="9"/>
        <v>0</v>
      </c>
      <c r="V38" s="64"/>
      <c r="W38" s="64"/>
      <c r="X38" s="64"/>
      <c r="Y38" s="64"/>
      <c r="Z38" s="122"/>
      <c r="AA38" s="122"/>
      <c r="AB38" s="200"/>
      <c r="AC38" s="200"/>
      <c r="AD38" s="200"/>
      <c r="AE38" s="200"/>
      <c r="AF38" s="200"/>
      <c r="AG38" s="200"/>
      <c r="AH38" s="200"/>
      <c r="AI38" s="200"/>
      <c r="AJ38" s="200"/>
      <c r="AK38" s="200"/>
      <c r="AL38" s="200"/>
      <c r="AM38" s="200"/>
      <c r="AN38" s="200"/>
      <c r="AO38" s="200"/>
      <c r="AP38" s="200"/>
      <c r="AQ38" s="200"/>
      <c r="AR38" s="200"/>
      <c r="AS38" s="200"/>
      <c r="AT38" s="200"/>
      <c r="AU38" s="200"/>
      <c r="AV38" s="200"/>
      <c r="AW38" s="200"/>
      <c r="AX38" s="200"/>
      <c r="AY38" s="200"/>
      <c r="AZ38" s="200"/>
      <c r="BA38" s="200"/>
      <c r="BB38" s="200"/>
      <c r="BC38" s="200"/>
      <c r="BD38" s="200"/>
      <c r="BE38" s="200"/>
      <c r="BF38" s="200"/>
      <c r="BG38" s="200"/>
      <c r="BH38" s="200"/>
      <c r="BI38" s="200"/>
      <c r="BJ38" s="200"/>
      <c r="BK38" s="200"/>
      <c r="BL38" s="200"/>
      <c r="BM38" s="200"/>
      <c r="BN38" s="200"/>
      <c r="BO38" s="200"/>
      <c r="BP38" s="200"/>
      <c r="BQ38" s="200"/>
      <c r="BR38" s="200"/>
      <c r="BS38" s="200"/>
      <c r="BT38" s="200"/>
      <c r="BU38" s="200"/>
      <c r="BV38" s="200"/>
      <c r="BW38" s="200"/>
      <c r="BX38" s="200"/>
      <c r="BY38" s="200"/>
      <c r="BZ38" s="200"/>
      <c r="CA38" s="200"/>
      <c r="CB38" s="64"/>
      <c r="CC38" s="64"/>
    </row>
    <row r="39" spans="1:81">
      <c r="A39" s="108">
        <f>IF(OR(A38=Abandonment!$B$4,A38=""),"",'Success Cash Flow'!A38+1)</f>
        <v>2052</v>
      </c>
      <c r="B39" s="109">
        <f>Revenue!N40</f>
        <v>47.529336673226638</v>
      </c>
      <c r="C39" s="109">
        <f>Revenue!O40</f>
        <v>454.96786431096439</v>
      </c>
      <c r="D39" s="109">
        <f>Revenue!P40</f>
        <v>0</v>
      </c>
      <c r="E39" s="196">
        <f t="shared" si="8"/>
        <v>502.49720098419101</v>
      </c>
      <c r="F39" s="196">
        <f>Exploration!S66</f>
        <v>0</v>
      </c>
      <c r="G39" s="196"/>
      <c r="H39" s="196">
        <f>Development!BD121</f>
        <v>0</v>
      </c>
      <c r="I39" s="196">
        <f>Abandonment!G45</f>
        <v>0</v>
      </c>
      <c r="J39" s="196">
        <f>Operations!M48</f>
        <v>340.82201916651775</v>
      </c>
      <c r="K39" s="196">
        <f t="shared" si="2"/>
        <v>340.82201916651775</v>
      </c>
      <c r="L39" s="196">
        <f t="shared" si="3"/>
        <v>161.67518181767326</v>
      </c>
      <c r="M39" s="196">
        <f>Royalty!AM41</f>
        <v>44.657542965357514</v>
      </c>
      <c r="N39" s="196">
        <f>'Provincial Tax'!X39</f>
        <v>15.773021311162989</v>
      </c>
      <c r="O39" s="196">
        <f>'Federal Tax'!X40</f>
        <v>11.342825212452274</v>
      </c>
      <c r="P39" s="196">
        <f t="shared" si="4"/>
        <v>71.773389488972768</v>
      </c>
      <c r="Q39" s="196">
        <f t="shared" si="5"/>
        <v>89.901792328700495</v>
      </c>
      <c r="R39" s="203"/>
      <c r="S39" s="204"/>
      <c r="T39" s="196">
        <f t="shared" si="7"/>
        <v>17194.881662879558</v>
      </c>
      <c r="U39" s="207">
        <f t="shared" si="9"/>
        <v>0</v>
      </c>
      <c r="V39" s="64"/>
      <c r="W39" s="64"/>
      <c r="X39" s="64"/>
      <c r="Y39" s="64"/>
      <c r="Z39" s="122"/>
      <c r="AA39" s="122"/>
      <c r="AB39" s="200"/>
      <c r="AC39" s="200"/>
      <c r="AD39" s="200"/>
      <c r="AE39" s="200"/>
      <c r="AF39" s="200"/>
      <c r="AG39" s="200"/>
      <c r="AH39" s="200"/>
      <c r="AI39" s="200"/>
      <c r="AJ39" s="200"/>
      <c r="AK39" s="200"/>
      <c r="AL39" s="200"/>
      <c r="AM39" s="200"/>
      <c r="AN39" s="200"/>
      <c r="AO39" s="200"/>
      <c r="AP39" s="200"/>
      <c r="AQ39" s="200"/>
      <c r="AR39" s="200"/>
      <c r="AS39" s="200"/>
      <c r="AT39" s="200"/>
      <c r="AU39" s="200"/>
      <c r="AV39" s="200"/>
      <c r="AW39" s="200"/>
      <c r="AX39" s="200"/>
      <c r="AY39" s="200"/>
      <c r="AZ39" s="200"/>
      <c r="BA39" s="200"/>
      <c r="BB39" s="200"/>
      <c r="BC39" s="200"/>
      <c r="BD39" s="200"/>
      <c r="BE39" s="200"/>
      <c r="BF39" s="200"/>
      <c r="BG39" s="200"/>
      <c r="BH39" s="200"/>
      <c r="BI39" s="200"/>
      <c r="BJ39" s="200"/>
      <c r="BK39" s="200"/>
      <c r="BL39" s="200"/>
      <c r="BM39" s="200"/>
      <c r="BN39" s="200"/>
      <c r="BO39" s="200"/>
      <c r="BP39" s="200"/>
      <c r="BQ39" s="200"/>
      <c r="BR39" s="200"/>
      <c r="BS39" s="200"/>
      <c r="BT39" s="200"/>
      <c r="BU39" s="200"/>
      <c r="BV39" s="200"/>
      <c r="BW39" s="200"/>
      <c r="BX39" s="200"/>
      <c r="BY39" s="200"/>
      <c r="BZ39" s="200"/>
      <c r="CA39" s="200"/>
      <c r="CB39" s="64"/>
      <c r="CC39" s="64"/>
    </row>
    <row r="40" spans="1:81">
      <c r="A40" s="108">
        <f>IF(OR(A39=Abandonment!$B$4,A39=""),"",'Success Cash Flow'!A39+1)</f>
        <v>2053</v>
      </c>
      <c r="B40" s="109">
        <f>Revenue!N41</f>
        <v>41.488752358554081</v>
      </c>
      <c r="C40" s="109">
        <f>Revenue!O41</f>
        <v>397.14522387035021</v>
      </c>
      <c r="D40" s="109">
        <f>Revenue!P41</f>
        <v>0</v>
      </c>
      <c r="E40" s="196">
        <f t="shared" si="8"/>
        <v>438.63397622890432</v>
      </c>
      <c r="F40" s="196">
        <f>Exploration!S67</f>
        <v>0</v>
      </c>
      <c r="G40" s="196"/>
      <c r="H40" s="196">
        <f>Development!BD122</f>
        <v>0</v>
      </c>
      <c r="I40" s="196">
        <f>Abandonment!G46</f>
        <v>0</v>
      </c>
      <c r="J40" s="196">
        <f>Operations!M49</f>
        <v>345.52066459991596</v>
      </c>
      <c r="K40" s="196">
        <f t="shared" si="2"/>
        <v>345.52066459991596</v>
      </c>
      <c r="L40" s="196">
        <f t="shared" si="3"/>
        <v>93.113311628988356</v>
      </c>
      <c r="M40" s="196">
        <f>Royalty!AM42</f>
        <v>21.931698811445216</v>
      </c>
      <c r="N40" s="196">
        <f>'Provincial Tax'!X40</f>
        <v>9.5104627551182013</v>
      </c>
      <c r="O40" s="196">
        <f>'Federal Tax'!X41</f>
        <v>6.022151164781306</v>
      </c>
      <c r="P40" s="196">
        <f t="shared" si="4"/>
        <v>37.46431273134472</v>
      </c>
      <c r="Q40" s="196">
        <f t="shared" si="5"/>
        <v>55.648998897643636</v>
      </c>
      <c r="R40" s="203"/>
      <c r="S40" s="204"/>
      <c r="T40" s="196">
        <f t="shared" si="7"/>
        <v>17250.5306617772</v>
      </c>
      <c r="U40" s="207">
        <f t="shared" si="9"/>
        <v>0</v>
      </c>
      <c r="V40" s="64"/>
      <c r="W40" s="64"/>
      <c r="X40" s="64"/>
      <c r="Y40" s="64"/>
      <c r="Z40" s="122"/>
      <c r="AA40" s="122"/>
      <c r="AB40" s="200"/>
      <c r="AC40" s="200"/>
      <c r="AD40" s="200"/>
      <c r="AE40" s="200"/>
      <c r="AF40" s="200"/>
      <c r="AG40" s="200"/>
      <c r="AH40" s="200"/>
      <c r="AI40" s="200"/>
      <c r="AJ40" s="200"/>
      <c r="AK40" s="200"/>
      <c r="AL40" s="200"/>
      <c r="AM40" s="200"/>
      <c r="AN40" s="200"/>
      <c r="AO40" s="200"/>
      <c r="AP40" s="200"/>
      <c r="AQ40" s="200"/>
      <c r="AR40" s="200"/>
      <c r="AS40" s="200"/>
      <c r="AT40" s="200"/>
      <c r="AU40" s="200"/>
      <c r="AV40" s="200"/>
      <c r="AW40" s="200"/>
      <c r="AX40" s="200"/>
      <c r="AY40" s="200"/>
      <c r="AZ40" s="200"/>
      <c r="BA40" s="200"/>
      <c r="BB40" s="200"/>
      <c r="BC40" s="200"/>
      <c r="BD40" s="200"/>
      <c r="BE40" s="200"/>
      <c r="BF40" s="200"/>
      <c r="BG40" s="200"/>
      <c r="BH40" s="200"/>
      <c r="BI40" s="200"/>
      <c r="BJ40" s="200"/>
      <c r="BK40" s="200"/>
      <c r="BL40" s="200"/>
      <c r="BM40" s="200"/>
      <c r="BN40" s="200"/>
      <c r="BO40" s="200"/>
      <c r="BP40" s="200"/>
      <c r="BQ40" s="200"/>
      <c r="BR40" s="200"/>
      <c r="BS40" s="200"/>
      <c r="BT40" s="200"/>
      <c r="BU40" s="200"/>
      <c r="BV40" s="200"/>
      <c r="BW40" s="200"/>
      <c r="BX40" s="200"/>
      <c r="BY40" s="200"/>
      <c r="BZ40" s="200"/>
      <c r="CA40" s="200"/>
      <c r="CB40" s="64"/>
      <c r="CC40" s="64"/>
    </row>
    <row r="41" spans="1:81">
      <c r="A41" s="108">
        <f>IF(OR(A40=Abandonment!$B$4,A40=""),"",'Success Cash Flow'!A40+1)</f>
        <v>2054</v>
      </c>
      <c r="B41" s="109">
        <f>Revenue!N42</f>
        <v>36.323402689913962</v>
      </c>
      <c r="C41" s="109">
        <f>Revenue!O42</f>
        <v>347.70064349849031</v>
      </c>
      <c r="D41" s="109">
        <f>Revenue!P42</f>
        <v>0</v>
      </c>
      <c r="E41" s="196">
        <f t="shared" si="8"/>
        <v>384.02404618840427</v>
      </c>
      <c r="F41" s="196">
        <f>Exploration!S68</f>
        <v>0</v>
      </c>
      <c r="G41" s="196"/>
      <c r="H41" s="196">
        <f>Development!BD123</f>
        <v>0</v>
      </c>
      <c r="I41" s="196">
        <f>Abandonment!G47</f>
        <v>0</v>
      </c>
      <c r="J41" s="196">
        <f>Operations!M50</f>
        <v>351.09155474954565</v>
      </c>
      <c r="K41" s="196">
        <f t="shared" si="2"/>
        <v>351.09155474954565</v>
      </c>
      <c r="L41" s="196">
        <f t="shared" si="3"/>
        <v>32.932491438858619</v>
      </c>
      <c r="M41" s="196">
        <f>Royalty!AM43</f>
        <v>19.201202309420214</v>
      </c>
      <c r="N41" s="196">
        <f>'Provincial Tax'!X41</f>
        <v>1.5826443383661499</v>
      </c>
      <c r="O41" s="196">
        <f>'Federal Tax'!X42</f>
        <v>-2.5858436329105685</v>
      </c>
      <c r="P41" s="196">
        <f t="shared" si="4"/>
        <v>18.198003014875798</v>
      </c>
      <c r="Q41" s="196">
        <f t="shared" si="5"/>
        <v>14.734488423982821</v>
      </c>
      <c r="R41" s="203"/>
      <c r="S41" s="204"/>
      <c r="T41" s="196">
        <f t="shared" si="7"/>
        <v>17265.265150201183</v>
      </c>
      <c r="U41" s="207">
        <f t="shared" si="9"/>
        <v>0</v>
      </c>
      <c r="V41" s="64"/>
      <c r="W41" s="64"/>
      <c r="X41" s="64"/>
      <c r="Y41" s="64"/>
      <c r="Z41" s="122"/>
      <c r="AA41" s="122"/>
      <c r="AB41" s="200"/>
      <c r="AC41" s="200"/>
      <c r="AD41" s="200"/>
      <c r="AE41" s="200"/>
      <c r="AF41" s="200"/>
      <c r="AG41" s="200"/>
      <c r="AH41" s="200"/>
      <c r="AI41" s="200"/>
      <c r="AJ41" s="200"/>
      <c r="AK41" s="200"/>
      <c r="AL41" s="200"/>
      <c r="AM41" s="200"/>
      <c r="AN41" s="200"/>
      <c r="AO41" s="200"/>
      <c r="AP41" s="200"/>
      <c r="AQ41" s="200"/>
      <c r="AR41" s="200"/>
      <c r="AS41" s="200"/>
      <c r="AT41" s="200"/>
      <c r="AU41" s="200"/>
      <c r="AV41" s="200"/>
      <c r="AW41" s="200"/>
      <c r="AX41" s="200"/>
      <c r="AY41" s="200"/>
      <c r="AZ41" s="200"/>
      <c r="BA41" s="200"/>
      <c r="BB41" s="200"/>
      <c r="BC41" s="200"/>
      <c r="BD41" s="200"/>
      <c r="BE41" s="200"/>
      <c r="BF41" s="200"/>
      <c r="BG41" s="200"/>
      <c r="BH41" s="200"/>
      <c r="BI41" s="200"/>
      <c r="BJ41" s="200"/>
      <c r="BK41" s="200"/>
      <c r="BL41" s="200"/>
      <c r="BM41" s="200"/>
      <c r="BN41" s="200"/>
      <c r="BO41" s="200"/>
      <c r="BP41" s="200"/>
      <c r="BQ41" s="200"/>
      <c r="BR41" s="200"/>
      <c r="BS41" s="200"/>
      <c r="BT41" s="200"/>
      <c r="BU41" s="200"/>
      <c r="BV41" s="200"/>
      <c r="BW41" s="200"/>
      <c r="BX41" s="200"/>
      <c r="BY41" s="200"/>
      <c r="BZ41" s="200"/>
      <c r="CA41" s="200"/>
      <c r="CB41" s="64"/>
      <c r="CC41" s="64"/>
    </row>
    <row r="42" spans="1:81">
      <c r="A42" s="108">
        <f>IF(OR(A41=Abandonment!$B$4,A41=""),"",'Success Cash Flow'!A41+1)</f>
        <v>2055</v>
      </c>
      <c r="B42" s="109">
        <f>Revenue!N43</f>
        <v>0</v>
      </c>
      <c r="C42" s="109">
        <f>Revenue!O43</f>
        <v>0</v>
      </c>
      <c r="D42" s="109">
        <f>Revenue!P43</f>
        <v>0</v>
      </c>
      <c r="E42" s="196">
        <f t="shared" si="8"/>
        <v>0</v>
      </c>
      <c r="F42" s="196">
        <f>Exploration!S69</f>
        <v>0</v>
      </c>
      <c r="G42" s="196"/>
      <c r="H42" s="196">
        <f>Development!BD124</f>
        <v>0</v>
      </c>
      <c r="I42" s="196">
        <f>Abandonment!G48</f>
        <v>529.6306607920867</v>
      </c>
      <c r="J42" s="196">
        <f>Operations!M51</f>
        <v>0</v>
      </c>
      <c r="K42" s="196">
        <f t="shared" si="2"/>
        <v>529.6306607920867</v>
      </c>
      <c r="L42" s="196">
        <f t="shared" si="3"/>
        <v>-529.6306607920867</v>
      </c>
      <c r="M42" s="196">
        <f>Royalty!AM44</f>
        <v>-111.12391802903301</v>
      </c>
      <c r="N42" s="196">
        <f>'Provincial Tax'!X42</f>
        <v>-26.866128404647341</v>
      </c>
      <c r="O42" s="196">
        <f>'Federal Tax'!X43</f>
        <v>-17.364976377233578</v>
      </c>
      <c r="P42" s="196">
        <f t="shared" si="4"/>
        <v>-155.35502281091391</v>
      </c>
      <c r="Q42" s="196">
        <f t="shared" si="5"/>
        <v>-374.27563798117279</v>
      </c>
      <c r="R42" s="203"/>
      <c r="S42" s="204"/>
      <c r="T42" s="196">
        <f t="shared" si="7"/>
        <v>16890.989512220011</v>
      </c>
      <c r="U42" s="207">
        <f t="shared" si="9"/>
        <v>0</v>
      </c>
      <c r="V42" s="64"/>
      <c r="W42" s="64"/>
      <c r="X42" s="64"/>
      <c r="Y42" s="64"/>
      <c r="Z42" s="122"/>
      <c r="AA42" s="122"/>
      <c r="AB42" s="200"/>
      <c r="AC42" s="200"/>
      <c r="AD42" s="200"/>
      <c r="AE42" s="200"/>
      <c r="AF42" s="200"/>
      <c r="AG42" s="200"/>
      <c r="AH42" s="200"/>
      <c r="AI42" s="200"/>
      <c r="AJ42" s="200"/>
      <c r="AK42" s="200"/>
      <c r="AL42" s="200"/>
      <c r="AM42" s="200"/>
      <c r="AN42" s="200"/>
      <c r="AO42" s="200"/>
      <c r="AP42" s="200"/>
      <c r="AQ42" s="200"/>
      <c r="AR42" s="200"/>
      <c r="AS42" s="200"/>
      <c r="AT42" s="200"/>
      <c r="AU42" s="200"/>
      <c r="AV42" s="200"/>
      <c r="AW42" s="200"/>
      <c r="AX42" s="200"/>
      <c r="AY42" s="200"/>
      <c r="AZ42" s="200"/>
      <c r="BA42" s="200"/>
      <c r="BB42" s="200"/>
      <c r="BC42" s="200"/>
      <c r="BD42" s="200"/>
      <c r="BE42" s="200"/>
      <c r="BF42" s="200"/>
      <c r="BG42" s="200"/>
      <c r="BH42" s="200"/>
      <c r="BI42" s="200"/>
      <c r="BJ42" s="200"/>
      <c r="BK42" s="200"/>
      <c r="BL42" s="200"/>
      <c r="BM42" s="200"/>
      <c r="BN42" s="200"/>
      <c r="BO42" s="200"/>
      <c r="BP42" s="200"/>
      <c r="BQ42" s="200"/>
      <c r="BR42" s="200"/>
      <c r="BS42" s="200"/>
      <c r="BT42" s="200"/>
      <c r="BU42" s="200"/>
      <c r="BV42" s="200"/>
      <c r="BW42" s="200"/>
      <c r="BX42" s="200"/>
      <c r="BY42" s="200"/>
      <c r="BZ42" s="200"/>
      <c r="CA42" s="200"/>
      <c r="CB42" s="64"/>
      <c r="CC42" s="64"/>
    </row>
    <row r="43" spans="1:81">
      <c r="A43" s="108" t="str">
        <f>IF(OR(A42=Abandonment!$B$4,A42=""),"",'Success Cash Flow'!A42+1)</f>
        <v/>
      </c>
      <c r="B43" s="109">
        <f>Revenue!N44</f>
        <v>0</v>
      </c>
      <c r="C43" s="109">
        <f>Revenue!O44</f>
        <v>0</v>
      </c>
      <c r="D43" s="109">
        <f>Revenue!P44</f>
        <v>0</v>
      </c>
      <c r="E43" s="196">
        <f t="shared" si="8"/>
        <v>0</v>
      </c>
      <c r="F43" s="196">
        <f>Exploration!S70</f>
        <v>0</v>
      </c>
      <c r="G43" s="196"/>
      <c r="H43" s="196">
        <f>Development!BD125</f>
        <v>0</v>
      </c>
      <c r="I43" s="196">
        <f>Abandonment!G49</f>
        <v>0</v>
      </c>
      <c r="J43" s="196">
        <f>Operations!M52</f>
        <v>0</v>
      </c>
      <c r="K43" s="196">
        <f t="shared" si="2"/>
        <v>0</v>
      </c>
      <c r="L43" s="196">
        <f t="shared" si="3"/>
        <v>0</v>
      </c>
      <c r="M43" s="196">
        <f>Royalty!AM45</f>
        <v>0</v>
      </c>
      <c r="N43" s="196">
        <f>'Provincial Tax'!X43</f>
        <v>0</v>
      </c>
      <c r="O43" s="196">
        <f>'Federal Tax'!X44</f>
        <v>0</v>
      </c>
      <c r="P43" s="196">
        <f t="shared" si="4"/>
        <v>0</v>
      </c>
      <c r="Q43" s="196">
        <f t="shared" si="5"/>
        <v>0</v>
      </c>
      <c r="R43" s="203"/>
      <c r="S43" s="204"/>
      <c r="T43" s="196">
        <f t="shared" si="7"/>
        <v>16890.989512220011</v>
      </c>
      <c r="U43" s="207">
        <f t="shared" si="9"/>
        <v>0</v>
      </c>
      <c r="V43" s="64"/>
      <c r="W43" s="64"/>
      <c r="X43" s="64"/>
      <c r="Y43" s="64"/>
      <c r="Z43" s="122"/>
      <c r="AA43" s="122"/>
      <c r="AB43" s="200"/>
      <c r="AC43" s="200"/>
      <c r="AD43" s="200"/>
      <c r="AE43" s="200"/>
      <c r="AF43" s="200"/>
      <c r="AG43" s="200"/>
      <c r="AH43" s="200"/>
      <c r="AI43" s="200"/>
      <c r="AJ43" s="200"/>
      <c r="AK43" s="200"/>
      <c r="AL43" s="200"/>
      <c r="AM43" s="200"/>
      <c r="AN43" s="200"/>
      <c r="AO43" s="200"/>
      <c r="AP43" s="200"/>
      <c r="AQ43" s="200"/>
      <c r="AR43" s="200"/>
      <c r="AS43" s="200"/>
      <c r="AT43" s="200"/>
      <c r="AU43" s="200"/>
      <c r="AV43" s="200"/>
      <c r="AW43" s="200"/>
      <c r="AX43" s="200"/>
      <c r="AY43" s="200"/>
      <c r="AZ43" s="200"/>
      <c r="BA43" s="200"/>
      <c r="BB43" s="200"/>
      <c r="BC43" s="200"/>
      <c r="BD43" s="200"/>
      <c r="BE43" s="200"/>
      <c r="BF43" s="200"/>
      <c r="BG43" s="200"/>
      <c r="BH43" s="200"/>
      <c r="BI43" s="200"/>
      <c r="BJ43" s="200"/>
      <c r="BK43" s="200"/>
      <c r="BL43" s="200"/>
      <c r="BM43" s="200"/>
      <c r="BN43" s="200"/>
      <c r="BO43" s="200"/>
      <c r="BP43" s="200"/>
      <c r="BQ43" s="200"/>
      <c r="BR43" s="200"/>
      <c r="BS43" s="200"/>
      <c r="BT43" s="200"/>
      <c r="BU43" s="200"/>
      <c r="BV43" s="200"/>
      <c r="BW43" s="200"/>
      <c r="BX43" s="200"/>
      <c r="BY43" s="200"/>
      <c r="BZ43" s="200"/>
      <c r="CA43" s="200"/>
      <c r="CB43" s="64"/>
      <c r="CC43" s="64"/>
    </row>
    <row r="44" spans="1:81">
      <c r="A44" s="108" t="str">
        <f>IF(OR(A43=Abandonment!$B$4,A43=""),"",'Success Cash Flow'!A43+1)</f>
        <v/>
      </c>
      <c r="B44" s="109">
        <f>Revenue!N45</f>
        <v>0</v>
      </c>
      <c r="C44" s="109">
        <f>Revenue!O45</f>
        <v>0</v>
      </c>
      <c r="D44" s="109">
        <f>Revenue!P45</f>
        <v>0</v>
      </c>
      <c r="E44" s="196">
        <f t="shared" si="8"/>
        <v>0</v>
      </c>
      <c r="F44" s="196">
        <f>Exploration!S71</f>
        <v>0</v>
      </c>
      <c r="G44" s="196"/>
      <c r="H44" s="196">
        <f>Development!BD126</f>
        <v>0</v>
      </c>
      <c r="I44" s="196">
        <f>Abandonment!G50</f>
        <v>0</v>
      </c>
      <c r="J44" s="196">
        <f>Operations!M53</f>
        <v>0</v>
      </c>
      <c r="K44" s="196">
        <f t="shared" si="2"/>
        <v>0</v>
      </c>
      <c r="L44" s="196">
        <f t="shared" si="3"/>
        <v>0</v>
      </c>
      <c r="M44" s="196">
        <f>Royalty!AM46</f>
        <v>0</v>
      </c>
      <c r="N44" s="196">
        <f>'Provincial Tax'!X44</f>
        <v>0</v>
      </c>
      <c r="O44" s="196">
        <f>'Federal Tax'!X45</f>
        <v>0</v>
      </c>
      <c r="P44" s="196">
        <f t="shared" si="4"/>
        <v>0</v>
      </c>
      <c r="Q44" s="196">
        <f t="shared" si="5"/>
        <v>0</v>
      </c>
      <c r="R44" s="203"/>
      <c r="S44" s="204"/>
      <c r="T44" s="196">
        <f t="shared" si="7"/>
        <v>16890.989512220011</v>
      </c>
      <c r="U44" s="207">
        <f t="shared" si="9"/>
        <v>0</v>
      </c>
      <c r="V44" s="64"/>
      <c r="W44" s="64"/>
      <c r="X44" s="64"/>
      <c r="Y44" s="64"/>
      <c r="Z44" s="122"/>
      <c r="AA44" s="122"/>
      <c r="AB44" s="200"/>
      <c r="AC44" s="200"/>
      <c r="AD44" s="200"/>
      <c r="AE44" s="200"/>
      <c r="AF44" s="200"/>
      <c r="AG44" s="200"/>
      <c r="AH44" s="200"/>
      <c r="AI44" s="200"/>
      <c r="AJ44" s="200"/>
      <c r="AK44" s="200"/>
      <c r="AL44" s="200"/>
      <c r="AM44" s="200"/>
      <c r="AN44" s="200"/>
      <c r="AO44" s="200"/>
      <c r="AP44" s="200"/>
      <c r="AQ44" s="200"/>
      <c r="AR44" s="200"/>
      <c r="AS44" s="200"/>
      <c r="AT44" s="200"/>
      <c r="AU44" s="200"/>
      <c r="AV44" s="200"/>
      <c r="AW44" s="200"/>
      <c r="AX44" s="200"/>
      <c r="AY44" s="200"/>
      <c r="AZ44" s="200"/>
      <c r="BA44" s="200"/>
      <c r="BB44" s="200"/>
      <c r="BC44" s="200"/>
      <c r="BD44" s="200"/>
      <c r="BE44" s="200"/>
      <c r="BF44" s="200"/>
      <c r="BG44" s="200"/>
      <c r="BH44" s="200"/>
      <c r="BI44" s="200"/>
      <c r="BJ44" s="200"/>
      <c r="BK44" s="200"/>
      <c r="BL44" s="200"/>
      <c r="BM44" s="200"/>
      <c r="BN44" s="200"/>
      <c r="BO44" s="200"/>
      <c r="BP44" s="200"/>
      <c r="BQ44" s="200"/>
      <c r="BR44" s="200"/>
      <c r="BS44" s="200"/>
      <c r="BT44" s="200"/>
      <c r="BU44" s="200"/>
      <c r="BV44" s="200"/>
      <c r="BW44" s="200"/>
      <c r="BX44" s="200"/>
      <c r="BY44" s="200"/>
      <c r="BZ44" s="200"/>
      <c r="CA44" s="200"/>
      <c r="CB44" s="64"/>
      <c r="CC44" s="64"/>
    </row>
    <row r="45" spans="1:81">
      <c r="A45" s="108" t="str">
        <f>IF(OR(A44=Abandonment!$B$4,A44=""),"",'Success Cash Flow'!A44+1)</f>
        <v/>
      </c>
      <c r="B45" s="109">
        <f>Revenue!N46</f>
        <v>0</v>
      </c>
      <c r="C45" s="109">
        <f>Revenue!O46</f>
        <v>0</v>
      </c>
      <c r="D45" s="109">
        <f>Revenue!P46</f>
        <v>0</v>
      </c>
      <c r="E45" s="196">
        <f t="shared" si="8"/>
        <v>0</v>
      </c>
      <c r="F45" s="196">
        <f>Exploration!S72</f>
        <v>0</v>
      </c>
      <c r="G45" s="196"/>
      <c r="H45" s="196">
        <f>Development!BD127</f>
        <v>0</v>
      </c>
      <c r="I45" s="196">
        <f>Abandonment!G51</f>
        <v>0</v>
      </c>
      <c r="J45" s="196">
        <f>Operations!M54</f>
        <v>0</v>
      </c>
      <c r="K45" s="196">
        <f t="shared" si="2"/>
        <v>0</v>
      </c>
      <c r="L45" s="196">
        <f t="shared" si="3"/>
        <v>0</v>
      </c>
      <c r="M45" s="196">
        <f>Royalty!AM47</f>
        <v>0</v>
      </c>
      <c r="N45" s="196">
        <f>'Provincial Tax'!X45</f>
        <v>0</v>
      </c>
      <c r="O45" s="196">
        <f>'Federal Tax'!X46</f>
        <v>0</v>
      </c>
      <c r="P45" s="196">
        <f t="shared" si="4"/>
        <v>0</v>
      </c>
      <c r="Q45" s="196">
        <f t="shared" si="5"/>
        <v>0</v>
      </c>
      <c r="R45" s="203"/>
      <c r="S45" s="204"/>
      <c r="T45" s="196">
        <f t="shared" si="7"/>
        <v>16890.989512220011</v>
      </c>
      <c r="U45" s="207">
        <f t="shared" si="9"/>
        <v>0</v>
      </c>
      <c r="V45" s="64"/>
      <c r="W45" s="64"/>
      <c r="X45" s="64"/>
      <c r="Y45" s="64"/>
      <c r="Z45" s="122"/>
      <c r="AA45" s="122"/>
      <c r="AB45" s="200"/>
      <c r="AC45" s="200"/>
      <c r="AD45" s="200"/>
      <c r="AE45" s="200"/>
      <c r="AF45" s="200"/>
      <c r="AG45" s="200"/>
      <c r="AH45" s="200"/>
      <c r="AI45" s="200"/>
      <c r="AJ45" s="200"/>
      <c r="AK45" s="200"/>
      <c r="AL45" s="200"/>
      <c r="AM45" s="200"/>
      <c r="AN45" s="200"/>
      <c r="AO45" s="200"/>
      <c r="AP45" s="200"/>
      <c r="AQ45" s="200"/>
      <c r="AR45" s="200"/>
      <c r="AS45" s="200"/>
      <c r="AT45" s="200"/>
      <c r="AU45" s="200"/>
      <c r="AV45" s="200"/>
      <c r="AW45" s="200"/>
      <c r="AX45" s="200"/>
      <c r="AY45" s="200"/>
      <c r="AZ45" s="200"/>
      <c r="BA45" s="200"/>
      <c r="BB45" s="200"/>
      <c r="BC45" s="200"/>
      <c r="BD45" s="200"/>
      <c r="BE45" s="200"/>
      <c r="BF45" s="200"/>
      <c r="BG45" s="200"/>
      <c r="BH45" s="200"/>
      <c r="BI45" s="200"/>
      <c r="BJ45" s="200"/>
      <c r="BK45" s="200"/>
      <c r="BL45" s="200"/>
      <c r="BM45" s="200"/>
      <c r="BN45" s="200"/>
      <c r="BO45" s="200"/>
      <c r="BP45" s="200"/>
      <c r="BQ45" s="200"/>
      <c r="BR45" s="200"/>
      <c r="BS45" s="200"/>
      <c r="BT45" s="200"/>
      <c r="BU45" s="200"/>
      <c r="BV45" s="200"/>
      <c r="BW45" s="200"/>
      <c r="BX45" s="200"/>
      <c r="BY45" s="200"/>
      <c r="BZ45" s="200"/>
      <c r="CA45" s="200"/>
      <c r="CB45" s="64"/>
      <c r="CC45" s="64"/>
    </row>
    <row r="46" spans="1:81">
      <c r="A46" s="108" t="str">
        <f>IF(OR(A45=Abandonment!$B$4,A45=""),"",'Success Cash Flow'!A45+1)</f>
        <v/>
      </c>
      <c r="B46" s="109">
        <f>Revenue!N47</f>
        <v>0</v>
      </c>
      <c r="C46" s="109">
        <f>Revenue!O47</f>
        <v>0</v>
      </c>
      <c r="D46" s="109">
        <f>Revenue!P47</f>
        <v>0</v>
      </c>
      <c r="E46" s="196">
        <f t="shared" si="8"/>
        <v>0</v>
      </c>
      <c r="F46" s="196">
        <f>Exploration!S73</f>
        <v>0</v>
      </c>
      <c r="G46" s="196"/>
      <c r="H46" s="196">
        <f>Development!BD128</f>
        <v>0</v>
      </c>
      <c r="I46" s="196">
        <f>Abandonment!G52</f>
        <v>0</v>
      </c>
      <c r="J46" s="196">
        <f>Operations!M55</f>
        <v>0</v>
      </c>
      <c r="K46" s="196">
        <f t="shared" si="2"/>
        <v>0</v>
      </c>
      <c r="L46" s="196">
        <f t="shared" si="3"/>
        <v>0</v>
      </c>
      <c r="M46" s="196">
        <f>Royalty!AM48</f>
        <v>0</v>
      </c>
      <c r="N46" s="196">
        <f>'Provincial Tax'!X46</f>
        <v>0</v>
      </c>
      <c r="O46" s="196">
        <f>'Federal Tax'!X47</f>
        <v>0</v>
      </c>
      <c r="P46" s="196">
        <f t="shared" si="4"/>
        <v>0</v>
      </c>
      <c r="Q46" s="196">
        <f t="shared" si="5"/>
        <v>0</v>
      </c>
      <c r="R46" s="203"/>
      <c r="S46" s="204"/>
      <c r="T46" s="196">
        <f t="shared" si="7"/>
        <v>16890.989512220011</v>
      </c>
      <c r="U46" s="207">
        <f t="shared" si="9"/>
        <v>0</v>
      </c>
      <c r="V46" s="64"/>
      <c r="W46" s="64"/>
      <c r="X46" s="64"/>
      <c r="Y46" s="64"/>
      <c r="Z46" s="122"/>
      <c r="AA46" s="122"/>
      <c r="AB46" s="200"/>
      <c r="AC46" s="200"/>
      <c r="AD46" s="200"/>
      <c r="AE46" s="200"/>
      <c r="AF46" s="200"/>
      <c r="AG46" s="200"/>
      <c r="AH46" s="200"/>
      <c r="AI46" s="200"/>
      <c r="AJ46" s="200"/>
      <c r="AK46" s="200"/>
      <c r="AL46" s="200"/>
      <c r="AM46" s="200"/>
      <c r="AN46" s="200"/>
      <c r="AO46" s="200"/>
      <c r="AP46" s="200"/>
      <c r="AQ46" s="200"/>
      <c r="AR46" s="200"/>
      <c r="AS46" s="200"/>
      <c r="AT46" s="200"/>
      <c r="AU46" s="200"/>
      <c r="AV46" s="200"/>
      <c r="AW46" s="200"/>
      <c r="AX46" s="200"/>
      <c r="AY46" s="200"/>
      <c r="AZ46" s="200"/>
      <c r="BA46" s="200"/>
      <c r="BB46" s="200"/>
      <c r="BC46" s="200"/>
      <c r="BD46" s="200"/>
      <c r="BE46" s="200"/>
      <c r="BF46" s="200"/>
      <c r="BG46" s="200"/>
      <c r="BH46" s="200"/>
      <c r="BI46" s="200"/>
      <c r="BJ46" s="200"/>
      <c r="BK46" s="200"/>
      <c r="BL46" s="200"/>
      <c r="BM46" s="200"/>
      <c r="BN46" s="200"/>
      <c r="BO46" s="200"/>
      <c r="BP46" s="200"/>
      <c r="BQ46" s="200"/>
      <c r="BR46" s="200"/>
      <c r="BS46" s="200"/>
      <c r="BT46" s="200"/>
      <c r="BU46" s="200"/>
      <c r="BV46" s="200"/>
      <c r="BW46" s="200"/>
      <c r="BX46" s="200"/>
      <c r="BY46" s="200"/>
      <c r="BZ46" s="200"/>
      <c r="CA46" s="200"/>
      <c r="CB46" s="64"/>
      <c r="CC46" s="64"/>
    </row>
    <row r="47" spans="1:81">
      <c r="A47" s="108" t="str">
        <f>IF(OR(A46=Abandonment!$B$4,A46=""),"",'Success Cash Flow'!A46+1)</f>
        <v/>
      </c>
      <c r="B47" s="109">
        <f>Revenue!N48</f>
        <v>0</v>
      </c>
      <c r="C47" s="109">
        <f>Revenue!O48</f>
        <v>0</v>
      </c>
      <c r="D47" s="109">
        <f>Revenue!P48</f>
        <v>0</v>
      </c>
      <c r="E47" s="196">
        <f t="shared" si="8"/>
        <v>0</v>
      </c>
      <c r="F47" s="196">
        <f>Exploration!S74</f>
        <v>0</v>
      </c>
      <c r="G47" s="196"/>
      <c r="H47" s="196">
        <f>Development!BD129</f>
        <v>0</v>
      </c>
      <c r="I47" s="196">
        <f>Abandonment!G53</f>
        <v>0</v>
      </c>
      <c r="J47" s="196">
        <f>Operations!M56</f>
        <v>0</v>
      </c>
      <c r="K47" s="196">
        <f t="shared" si="2"/>
        <v>0</v>
      </c>
      <c r="L47" s="196">
        <f t="shared" si="3"/>
        <v>0</v>
      </c>
      <c r="M47" s="196">
        <f>Royalty!AM49</f>
        <v>0</v>
      </c>
      <c r="N47" s="196">
        <f>'Provincial Tax'!X47</f>
        <v>0</v>
      </c>
      <c r="O47" s="196">
        <f>'Federal Tax'!X48</f>
        <v>0</v>
      </c>
      <c r="P47" s="196">
        <f t="shared" si="4"/>
        <v>0</v>
      </c>
      <c r="Q47" s="196">
        <f t="shared" si="5"/>
        <v>0</v>
      </c>
      <c r="R47" s="203"/>
      <c r="S47" s="204"/>
      <c r="T47" s="196">
        <f t="shared" si="7"/>
        <v>16890.989512220011</v>
      </c>
      <c r="U47" s="207">
        <f t="shared" si="9"/>
        <v>0</v>
      </c>
      <c r="V47" s="64"/>
      <c r="W47" s="64"/>
      <c r="X47" s="64"/>
      <c r="Y47" s="64"/>
      <c r="Z47" s="122"/>
      <c r="AA47" s="122"/>
      <c r="AB47" s="200"/>
      <c r="AC47" s="200"/>
      <c r="AD47" s="200"/>
      <c r="AE47" s="200"/>
      <c r="AF47" s="200"/>
      <c r="AG47" s="200"/>
      <c r="AH47" s="200"/>
      <c r="AI47" s="200"/>
      <c r="AJ47" s="200"/>
      <c r="AK47" s="200"/>
      <c r="AL47" s="200"/>
      <c r="AM47" s="200"/>
      <c r="AN47" s="200"/>
      <c r="AO47" s="200"/>
      <c r="AP47" s="200"/>
      <c r="AQ47" s="200"/>
      <c r="AR47" s="200"/>
      <c r="AS47" s="200"/>
      <c r="AT47" s="200"/>
      <c r="AU47" s="200"/>
      <c r="AV47" s="200"/>
      <c r="AW47" s="200"/>
      <c r="AX47" s="200"/>
      <c r="AY47" s="200"/>
      <c r="AZ47" s="200"/>
      <c r="BA47" s="200"/>
      <c r="BB47" s="200"/>
      <c r="BC47" s="200"/>
      <c r="BD47" s="200"/>
      <c r="BE47" s="200"/>
      <c r="BF47" s="200"/>
      <c r="BG47" s="200"/>
      <c r="BH47" s="200"/>
      <c r="BI47" s="200"/>
      <c r="BJ47" s="200"/>
      <c r="BK47" s="200"/>
      <c r="BL47" s="200"/>
      <c r="BM47" s="200"/>
      <c r="BN47" s="200"/>
      <c r="BO47" s="200"/>
      <c r="BP47" s="200"/>
      <c r="BQ47" s="200"/>
      <c r="BR47" s="200"/>
      <c r="BS47" s="200"/>
      <c r="BT47" s="200"/>
      <c r="BU47" s="200"/>
      <c r="BV47" s="200"/>
      <c r="BW47" s="200"/>
      <c r="BX47" s="200"/>
      <c r="BY47" s="200"/>
      <c r="BZ47" s="200"/>
      <c r="CA47" s="200"/>
      <c r="CB47" s="64"/>
      <c r="CC47" s="64"/>
    </row>
    <row r="48" spans="1:81">
      <c r="A48" s="108" t="str">
        <f>IF(OR(A47=Abandonment!$B$4,A47=""),"",'Success Cash Flow'!A47+1)</f>
        <v/>
      </c>
      <c r="B48" s="109">
        <f>Revenue!N49</f>
        <v>0</v>
      </c>
      <c r="C48" s="109">
        <f>Revenue!O49</f>
        <v>0</v>
      </c>
      <c r="D48" s="109">
        <f>Revenue!P49</f>
        <v>0</v>
      </c>
      <c r="E48" s="196">
        <f t="shared" si="8"/>
        <v>0</v>
      </c>
      <c r="F48" s="196">
        <f>Exploration!S75</f>
        <v>0</v>
      </c>
      <c r="G48" s="196"/>
      <c r="H48" s="196">
        <f>Development!BD130</f>
        <v>0</v>
      </c>
      <c r="I48" s="196">
        <f>Abandonment!G54</f>
        <v>0</v>
      </c>
      <c r="J48" s="196">
        <f>Operations!M57</f>
        <v>0</v>
      </c>
      <c r="K48" s="196">
        <f t="shared" si="2"/>
        <v>0</v>
      </c>
      <c r="L48" s="196">
        <f t="shared" si="3"/>
        <v>0</v>
      </c>
      <c r="M48" s="196">
        <f>Royalty!AM50</f>
        <v>0</v>
      </c>
      <c r="N48" s="196">
        <f>'Provincial Tax'!X48</f>
        <v>0</v>
      </c>
      <c r="O48" s="196">
        <f>'Federal Tax'!X49</f>
        <v>0</v>
      </c>
      <c r="P48" s="196">
        <f t="shared" si="4"/>
        <v>0</v>
      </c>
      <c r="Q48" s="196">
        <f t="shared" si="5"/>
        <v>0</v>
      </c>
      <c r="R48" s="203"/>
      <c r="S48" s="204"/>
      <c r="T48" s="196">
        <f t="shared" si="7"/>
        <v>16890.989512220011</v>
      </c>
      <c r="U48" s="207">
        <f t="shared" si="9"/>
        <v>0</v>
      </c>
      <c r="V48" s="64"/>
      <c r="W48" s="64"/>
      <c r="X48" s="64"/>
      <c r="Y48" s="64"/>
      <c r="Z48" s="122"/>
      <c r="AA48" s="122"/>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64"/>
      <c r="CC48" s="64"/>
    </row>
    <row r="49" spans="1:81">
      <c r="A49" s="108" t="str">
        <f>IF(OR(A48=Abandonment!$B$4,A48=""),"",'Success Cash Flow'!A48+1)</f>
        <v/>
      </c>
      <c r="B49" s="109">
        <f>Revenue!N50</f>
        <v>0</v>
      </c>
      <c r="C49" s="109">
        <f>Revenue!O50</f>
        <v>0</v>
      </c>
      <c r="D49" s="109">
        <f>Revenue!P50</f>
        <v>0</v>
      </c>
      <c r="E49" s="196">
        <f t="shared" si="8"/>
        <v>0</v>
      </c>
      <c r="F49" s="196">
        <f>Exploration!S76</f>
        <v>0</v>
      </c>
      <c r="G49" s="196"/>
      <c r="H49" s="196">
        <f>Development!BD131</f>
        <v>0</v>
      </c>
      <c r="I49" s="196">
        <f>Abandonment!G55</f>
        <v>0</v>
      </c>
      <c r="J49" s="196">
        <f>Operations!M58</f>
        <v>0</v>
      </c>
      <c r="K49" s="196">
        <f t="shared" si="2"/>
        <v>0</v>
      </c>
      <c r="L49" s="196">
        <f t="shared" si="3"/>
        <v>0</v>
      </c>
      <c r="M49" s="196">
        <f>Royalty!AM51</f>
        <v>0</v>
      </c>
      <c r="N49" s="196">
        <f>'Provincial Tax'!X49</f>
        <v>0</v>
      </c>
      <c r="O49" s="196">
        <f>'Federal Tax'!X50</f>
        <v>0</v>
      </c>
      <c r="P49" s="196">
        <f t="shared" si="4"/>
        <v>0</v>
      </c>
      <c r="Q49" s="196">
        <f t="shared" si="5"/>
        <v>0</v>
      </c>
      <c r="R49" s="203"/>
      <c r="S49" s="204"/>
      <c r="T49" s="196">
        <f t="shared" si="7"/>
        <v>16890.989512220011</v>
      </c>
      <c r="U49" s="208">
        <f t="shared" si="9"/>
        <v>0</v>
      </c>
      <c r="V49" s="64"/>
      <c r="W49" s="64"/>
      <c r="X49" s="64"/>
      <c r="Y49" s="64"/>
      <c r="Z49" s="122"/>
      <c r="AA49" s="122"/>
      <c r="AB49" s="200"/>
      <c r="AC49" s="200"/>
      <c r="AD49" s="200"/>
      <c r="AE49" s="200"/>
      <c r="AF49" s="200"/>
      <c r="AG49" s="200"/>
      <c r="AH49" s="200"/>
      <c r="AI49" s="200"/>
      <c r="AJ49" s="200"/>
      <c r="AK49" s="200"/>
      <c r="AL49" s="200"/>
      <c r="AM49" s="200"/>
      <c r="AN49" s="200"/>
      <c r="AO49" s="200"/>
      <c r="AP49" s="200"/>
      <c r="AQ49" s="200"/>
      <c r="AR49" s="200"/>
      <c r="AS49" s="200"/>
      <c r="AT49" s="200"/>
      <c r="AU49" s="200"/>
      <c r="AV49" s="200"/>
      <c r="AW49" s="200"/>
      <c r="AX49" s="200"/>
      <c r="AY49" s="200"/>
      <c r="AZ49" s="200"/>
      <c r="BA49" s="200"/>
      <c r="BB49" s="200"/>
      <c r="BC49" s="200"/>
      <c r="BD49" s="200"/>
      <c r="BE49" s="200"/>
      <c r="BF49" s="200"/>
      <c r="BG49" s="200"/>
      <c r="BH49" s="200"/>
      <c r="BI49" s="200"/>
      <c r="BJ49" s="200"/>
      <c r="BK49" s="200"/>
      <c r="BL49" s="200"/>
      <c r="BM49" s="200"/>
      <c r="BN49" s="200"/>
      <c r="BO49" s="200"/>
      <c r="BP49" s="200"/>
      <c r="BQ49" s="200"/>
      <c r="BR49" s="200"/>
      <c r="BS49" s="200"/>
      <c r="BT49" s="200"/>
      <c r="BU49" s="200"/>
      <c r="BV49" s="200"/>
      <c r="BW49" s="200"/>
      <c r="BX49" s="200"/>
      <c r="BY49" s="200"/>
      <c r="BZ49" s="200"/>
      <c r="CA49" s="200"/>
      <c r="CB49" s="64"/>
      <c r="CC49" s="64"/>
    </row>
    <row r="50" spans="1:81">
      <c r="A50" s="110" t="str">
        <f>IF(OR(A49=Abandonment!$B$4,A49=""),"",'Success Cash Flow'!A49+1)</f>
        <v/>
      </c>
      <c r="B50" s="111">
        <f>Revenue!N51</f>
        <v>0</v>
      </c>
      <c r="C50" s="111">
        <f>Revenue!O51</f>
        <v>0</v>
      </c>
      <c r="D50" s="111">
        <f>Revenue!P51</f>
        <v>0</v>
      </c>
      <c r="E50" s="198">
        <f>SUM(B50:D50)</f>
        <v>0</v>
      </c>
      <c r="F50" s="198">
        <f>Exploration!S77</f>
        <v>0</v>
      </c>
      <c r="G50" s="198"/>
      <c r="H50" s="198">
        <f>Development!BC132</f>
        <v>0</v>
      </c>
      <c r="I50" s="198">
        <f>Abandonment!G56</f>
        <v>0</v>
      </c>
      <c r="J50" s="198">
        <f>Operations!M59</f>
        <v>0</v>
      </c>
      <c r="K50" s="198">
        <f>SUM(F50:J50)</f>
        <v>0</v>
      </c>
      <c r="L50" s="198">
        <f>E50-K50</f>
        <v>0</v>
      </c>
      <c r="M50" s="198">
        <f>Royalty!AM52</f>
        <v>0</v>
      </c>
      <c r="N50" s="198">
        <f>'Provincial Tax'!X50</f>
        <v>0</v>
      </c>
      <c r="O50" s="198">
        <f>'Federal Tax'!X51</f>
        <v>0</v>
      </c>
      <c r="P50" s="198">
        <f>SUM(M50:O50)</f>
        <v>0</v>
      </c>
      <c r="Q50" s="198">
        <f>L50-P50</f>
        <v>0</v>
      </c>
      <c r="R50" s="64"/>
      <c r="S50" s="64"/>
      <c r="T50" s="64"/>
      <c r="U50" s="64"/>
      <c r="V50" s="64"/>
      <c r="W50" s="64"/>
      <c r="X50" s="64"/>
      <c r="Y50" s="64"/>
      <c r="Z50" s="122"/>
      <c r="AA50" s="122"/>
      <c r="AB50" s="200"/>
      <c r="AC50" s="200"/>
      <c r="AD50" s="200"/>
      <c r="AE50" s="200"/>
      <c r="AF50" s="200"/>
      <c r="AG50" s="200"/>
      <c r="AH50" s="200"/>
      <c r="AI50" s="200"/>
      <c r="AJ50" s="200"/>
      <c r="AK50" s="200"/>
      <c r="AL50" s="200"/>
      <c r="AM50" s="200"/>
      <c r="AN50" s="200"/>
      <c r="AO50" s="200"/>
      <c r="AP50" s="200"/>
      <c r="AQ50" s="200"/>
      <c r="AR50" s="200"/>
      <c r="AS50" s="200"/>
      <c r="AT50" s="200"/>
      <c r="AU50" s="200"/>
      <c r="AV50" s="200"/>
      <c r="AW50" s="200"/>
      <c r="AX50" s="200"/>
      <c r="AY50" s="200"/>
      <c r="AZ50" s="200"/>
      <c r="BA50" s="200"/>
      <c r="BB50" s="200"/>
      <c r="BC50" s="200"/>
      <c r="BD50" s="200"/>
      <c r="BE50" s="200"/>
      <c r="BF50" s="200"/>
      <c r="BG50" s="200"/>
      <c r="BH50" s="200"/>
      <c r="BI50" s="200"/>
      <c r="BJ50" s="200"/>
      <c r="BK50" s="200"/>
      <c r="BL50" s="200"/>
      <c r="BM50" s="200"/>
      <c r="BN50" s="200"/>
      <c r="BO50" s="200"/>
      <c r="BP50" s="200"/>
      <c r="BQ50" s="200"/>
      <c r="BR50" s="200"/>
      <c r="BS50" s="200"/>
      <c r="BT50" s="200"/>
      <c r="BU50" s="200"/>
      <c r="BV50" s="200"/>
      <c r="BW50" s="200"/>
      <c r="BX50" s="200"/>
      <c r="BY50" s="200"/>
      <c r="BZ50" s="200"/>
      <c r="CA50" s="200"/>
      <c r="CB50" s="64"/>
      <c r="CC50" s="64"/>
    </row>
    <row r="51" spans="1:81">
      <c r="A51" s="83"/>
      <c r="B51" s="83"/>
      <c r="C51" s="83"/>
      <c r="D51" s="83"/>
      <c r="E51" s="83"/>
      <c r="F51" s="83"/>
      <c r="G51" s="83"/>
      <c r="H51" s="83"/>
      <c r="I51" s="83"/>
      <c r="J51" s="83"/>
      <c r="K51" s="83"/>
      <c r="L51" s="83"/>
      <c r="M51" s="83"/>
      <c r="N51" s="83"/>
      <c r="O51" s="83"/>
      <c r="P51" s="83"/>
      <c r="Q51" s="83"/>
      <c r="R51" s="83"/>
      <c r="S51" s="83"/>
      <c r="T51" s="83"/>
      <c r="U51" s="83"/>
      <c r="V51" s="83"/>
      <c r="W51" s="83"/>
      <c r="X51" s="83"/>
      <c r="Y51" s="83"/>
      <c r="Z51" s="83"/>
      <c r="AA51" s="83"/>
      <c r="AB51" s="83"/>
      <c r="AC51" s="83"/>
      <c r="AD51" s="83"/>
      <c r="AE51" s="83"/>
      <c r="AF51" s="83"/>
      <c r="AG51" s="83"/>
      <c r="AH51" s="83"/>
      <c r="AI51" s="83"/>
      <c r="AJ51" s="83"/>
      <c r="AK51" s="83"/>
      <c r="AL51" s="83"/>
      <c r="AM51" s="83"/>
      <c r="AN51" s="83"/>
      <c r="AO51" s="83"/>
      <c r="AP51" s="83"/>
      <c r="AQ51" s="83"/>
      <c r="AR51" s="83"/>
      <c r="AS51" s="83"/>
      <c r="AT51" s="83"/>
      <c r="AU51" s="83"/>
      <c r="AV51" s="83"/>
      <c r="AW51" s="83"/>
      <c r="AX51" s="83"/>
      <c r="AY51" s="83"/>
      <c r="AZ51" s="83"/>
      <c r="BA51" s="83"/>
      <c r="BB51" s="83"/>
      <c r="BC51" s="83"/>
      <c r="BD51" s="83"/>
      <c r="BE51" s="83"/>
      <c r="BF51" s="83"/>
      <c r="BG51" s="83"/>
      <c r="BH51" s="83"/>
      <c r="BI51" s="83"/>
      <c r="BJ51" s="83"/>
      <c r="BK51" s="83"/>
      <c r="BL51" s="83"/>
      <c r="BM51" s="83"/>
      <c r="BN51" s="83"/>
      <c r="BO51" s="83"/>
      <c r="BP51" s="83"/>
      <c r="BQ51" s="83"/>
      <c r="BR51" s="83"/>
      <c r="BS51" s="83"/>
      <c r="BT51" s="83"/>
      <c r="BU51" s="83"/>
      <c r="BV51" s="83"/>
      <c r="BW51" s="83"/>
      <c r="BX51" s="83"/>
      <c r="BY51" s="83"/>
      <c r="BZ51" s="83"/>
      <c r="CA51" s="83"/>
      <c r="CB51" s="83"/>
      <c r="CC51" s="83"/>
    </row>
    <row r="52" spans="1:81">
      <c r="A52" s="83"/>
      <c r="B52" s="83"/>
      <c r="C52" s="83"/>
      <c r="D52" s="83"/>
      <c r="E52" s="83"/>
      <c r="F52" s="83"/>
      <c r="G52" s="83"/>
      <c r="H52" s="83"/>
      <c r="I52" s="83"/>
      <c r="J52" s="83"/>
      <c r="K52" s="83"/>
      <c r="L52" s="83"/>
      <c r="M52" s="83"/>
      <c r="N52" s="83"/>
      <c r="O52" s="83"/>
      <c r="P52" s="83"/>
      <c r="Q52" s="83"/>
      <c r="R52" s="83"/>
      <c r="S52" s="83"/>
      <c r="T52" s="83"/>
      <c r="U52" s="83"/>
      <c r="V52" s="83"/>
      <c r="W52" s="83"/>
      <c r="X52" s="83"/>
      <c r="Y52" s="83"/>
      <c r="Z52" s="83"/>
      <c r="AA52" s="83"/>
      <c r="AB52" s="83"/>
      <c r="AC52" s="83"/>
      <c r="AD52" s="83"/>
      <c r="AE52" s="83"/>
      <c r="AF52" s="83"/>
      <c r="AG52" s="83"/>
      <c r="AH52" s="83"/>
      <c r="AI52" s="83"/>
      <c r="AJ52" s="83"/>
      <c r="AK52" s="83"/>
      <c r="AL52" s="83"/>
      <c r="AM52" s="83"/>
      <c r="AN52" s="83"/>
      <c r="AO52" s="83"/>
      <c r="AP52" s="83"/>
      <c r="AQ52" s="83"/>
      <c r="AR52" s="83"/>
      <c r="AS52" s="83"/>
      <c r="AT52" s="83"/>
      <c r="AU52" s="83"/>
      <c r="AV52" s="83"/>
      <c r="AW52" s="83"/>
      <c r="AX52" s="83"/>
      <c r="AY52" s="83"/>
      <c r="AZ52" s="83"/>
      <c r="BA52" s="83"/>
      <c r="BB52" s="83"/>
      <c r="BC52" s="83"/>
      <c r="BD52" s="83"/>
      <c r="BE52" s="83"/>
      <c r="BF52" s="83"/>
      <c r="BG52" s="83"/>
      <c r="BH52" s="83"/>
      <c r="BI52" s="83"/>
      <c r="BJ52" s="83"/>
      <c r="BK52" s="83"/>
      <c r="BL52" s="83"/>
      <c r="BM52" s="83"/>
      <c r="BN52" s="83"/>
      <c r="BO52" s="83"/>
      <c r="BP52" s="83"/>
      <c r="BQ52" s="83"/>
      <c r="BR52" s="83"/>
      <c r="BS52" s="83"/>
      <c r="BT52" s="83"/>
      <c r="BU52" s="83"/>
      <c r="BV52" s="83"/>
      <c r="BW52" s="83"/>
      <c r="BX52" s="83"/>
      <c r="BY52" s="83"/>
      <c r="BZ52" s="83"/>
      <c r="CA52" s="83"/>
      <c r="CB52" s="83"/>
      <c r="CC52" s="83"/>
    </row>
    <row r="53" spans="1:81">
      <c r="A53" s="83"/>
      <c r="B53" s="83"/>
      <c r="C53" s="83"/>
      <c r="D53" s="83"/>
      <c r="E53" s="83"/>
      <c r="F53" s="83"/>
      <c r="G53" s="83"/>
      <c r="H53" s="83"/>
      <c r="I53" s="83"/>
      <c r="J53" s="83"/>
      <c r="K53" s="83"/>
      <c r="L53" s="83"/>
      <c r="M53" s="83"/>
      <c r="N53" s="83"/>
      <c r="O53" s="83"/>
      <c r="P53" s="83"/>
      <c r="Q53" s="83"/>
      <c r="R53" s="83"/>
      <c r="S53" s="83"/>
      <c r="T53" s="83"/>
      <c r="U53" s="83"/>
      <c r="V53" s="83"/>
      <c r="W53" s="83"/>
      <c r="X53" s="83"/>
      <c r="Y53" s="83"/>
      <c r="Z53" s="83"/>
      <c r="AA53" s="83"/>
      <c r="AB53" s="83"/>
      <c r="AC53" s="83"/>
      <c r="AD53" s="83"/>
      <c r="AE53" s="83"/>
      <c r="AF53" s="83"/>
      <c r="AG53" s="83"/>
      <c r="AH53" s="83"/>
      <c r="AI53" s="83"/>
      <c r="AJ53" s="83"/>
      <c r="AK53" s="83"/>
      <c r="AL53" s="83"/>
      <c r="AM53" s="83"/>
      <c r="AN53" s="83"/>
      <c r="AO53" s="83"/>
      <c r="AP53" s="83"/>
      <c r="AQ53" s="83"/>
      <c r="AR53" s="83"/>
      <c r="AS53" s="83"/>
      <c r="AT53" s="83"/>
      <c r="AU53" s="83"/>
      <c r="AV53" s="83"/>
      <c r="AW53" s="83"/>
      <c r="AX53" s="83"/>
      <c r="AY53" s="83"/>
      <c r="AZ53" s="83"/>
      <c r="BA53" s="83"/>
      <c r="BB53" s="83"/>
      <c r="BC53" s="83"/>
      <c r="BD53" s="83"/>
      <c r="BE53" s="83"/>
      <c r="BF53" s="83"/>
      <c r="BG53" s="83"/>
      <c r="BH53" s="83"/>
      <c r="BI53" s="83"/>
      <c r="BJ53" s="83"/>
      <c r="BK53" s="83"/>
      <c r="BL53" s="83"/>
      <c r="BM53" s="83"/>
      <c r="BN53" s="83"/>
      <c r="BO53" s="83"/>
      <c r="BP53" s="83"/>
      <c r="BQ53" s="83"/>
      <c r="BR53" s="83"/>
      <c r="BS53" s="83"/>
      <c r="BT53" s="83"/>
      <c r="BU53" s="83"/>
      <c r="BV53" s="83"/>
      <c r="BW53" s="83"/>
      <c r="BX53" s="83"/>
      <c r="BY53" s="83"/>
      <c r="BZ53" s="83"/>
      <c r="CA53" s="83"/>
      <c r="CB53" s="83"/>
      <c r="CC53" s="83"/>
    </row>
    <row r="54" spans="1:81">
      <c r="A54" s="83"/>
      <c r="B54" s="83"/>
      <c r="C54" s="83"/>
      <c r="D54" s="83"/>
      <c r="E54" s="83"/>
      <c r="F54" s="83"/>
      <c r="G54" s="83"/>
      <c r="H54" s="83"/>
      <c r="I54" s="83"/>
      <c r="J54" s="83"/>
      <c r="K54" s="83"/>
      <c r="L54" s="83"/>
      <c r="M54" s="83"/>
      <c r="N54" s="83"/>
      <c r="O54" s="83"/>
      <c r="P54" s="83"/>
      <c r="Q54" s="83"/>
      <c r="R54" s="83"/>
      <c r="S54" s="83"/>
      <c r="T54" s="83"/>
      <c r="U54" s="83"/>
      <c r="V54" s="83"/>
      <c r="W54" s="83"/>
      <c r="X54" s="83"/>
      <c r="Y54" s="83"/>
      <c r="Z54" s="83"/>
      <c r="AA54" s="83"/>
      <c r="AB54" s="83"/>
      <c r="AC54" s="83"/>
      <c r="AD54" s="83"/>
      <c r="AE54" s="83"/>
      <c r="AF54" s="83"/>
      <c r="AG54" s="83"/>
      <c r="AH54" s="83"/>
      <c r="AI54" s="83"/>
      <c r="AJ54" s="83"/>
      <c r="AK54" s="83"/>
      <c r="AL54" s="83"/>
      <c r="AM54" s="83"/>
      <c r="AN54" s="83"/>
      <c r="AO54" s="83"/>
      <c r="AP54" s="83"/>
      <c r="AQ54" s="83"/>
      <c r="AR54" s="83"/>
      <c r="AS54" s="83"/>
      <c r="AT54" s="83"/>
      <c r="AU54" s="83"/>
      <c r="AV54" s="83"/>
      <c r="AW54" s="83"/>
      <c r="AX54" s="83"/>
      <c r="AY54" s="83"/>
      <c r="AZ54" s="83"/>
      <c r="BA54" s="83"/>
      <c r="BB54" s="83"/>
      <c r="BC54" s="83"/>
      <c r="BD54" s="83"/>
      <c r="BE54" s="83"/>
      <c r="BF54" s="83"/>
      <c r="BG54" s="83"/>
      <c r="BH54" s="83"/>
      <c r="BI54" s="83"/>
      <c r="BJ54" s="83"/>
      <c r="BK54" s="83"/>
      <c r="BL54" s="83"/>
      <c r="BM54" s="83"/>
      <c r="BN54" s="83"/>
      <c r="BO54" s="83"/>
      <c r="BP54" s="83"/>
      <c r="BQ54" s="83"/>
      <c r="BR54" s="83"/>
      <c r="BS54" s="83"/>
      <c r="BT54" s="83"/>
      <c r="BU54" s="83"/>
      <c r="BV54" s="83"/>
      <c r="BW54" s="83"/>
      <c r="BX54" s="83"/>
      <c r="BY54" s="83"/>
      <c r="BZ54" s="83"/>
      <c r="CA54" s="83"/>
      <c r="CB54" s="83"/>
      <c r="CC54" s="83"/>
    </row>
    <row r="55" spans="1:81">
      <c r="A55" s="83"/>
      <c r="B55" s="83"/>
      <c r="C55" s="83"/>
      <c r="D55" s="83"/>
      <c r="E55" s="83"/>
      <c r="F55" s="83"/>
      <c r="G55" s="83"/>
      <c r="H55" s="83"/>
      <c r="I55" s="83"/>
      <c r="J55" s="83"/>
      <c r="K55" s="83"/>
      <c r="L55" s="83"/>
      <c r="M55" s="83"/>
      <c r="N55" s="83"/>
      <c r="O55" s="83"/>
      <c r="P55" s="83"/>
      <c r="Q55" s="83"/>
      <c r="R55" s="83"/>
      <c r="S55" s="83"/>
      <c r="T55" s="83"/>
      <c r="U55" s="83"/>
      <c r="V55" s="83"/>
      <c r="W55" s="83"/>
      <c r="X55" s="83"/>
      <c r="Y55" s="83"/>
      <c r="Z55" s="83"/>
      <c r="AA55" s="83"/>
      <c r="AB55" s="83"/>
      <c r="AC55" s="83"/>
      <c r="AD55" s="83"/>
      <c r="AE55" s="83"/>
      <c r="AF55" s="83"/>
      <c r="AG55" s="83"/>
      <c r="AH55" s="83"/>
      <c r="AI55" s="83"/>
      <c r="AJ55" s="83"/>
      <c r="AK55" s="83"/>
      <c r="AL55" s="83"/>
      <c r="AM55" s="83"/>
      <c r="AN55" s="83"/>
      <c r="AO55" s="83"/>
      <c r="AP55" s="83"/>
      <c r="AQ55" s="83"/>
      <c r="AR55" s="83"/>
      <c r="AS55" s="83"/>
      <c r="AT55" s="83"/>
      <c r="AU55" s="83"/>
      <c r="AV55" s="83"/>
      <c r="AW55" s="83"/>
      <c r="AX55" s="83"/>
      <c r="AY55" s="83"/>
      <c r="AZ55" s="83"/>
      <c r="BA55" s="83"/>
      <c r="BB55" s="83"/>
      <c r="BC55" s="83"/>
      <c r="BD55" s="83"/>
      <c r="BE55" s="83"/>
      <c r="BF55" s="83"/>
      <c r="BG55" s="83"/>
      <c r="BH55" s="83"/>
      <c r="BI55" s="83"/>
      <c r="BJ55" s="83"/>
      <c r="BK55" s="83"/>
      <c r="BL55" s="83"/>
      <c r="BM55" s="83"/>
      <c r="BN55" s="83"/>
      <c r="BO55" s="83"/>
      <c r="BP55" s="83"/>
      <c r="BQ55" s="83"/>
      <c r="BR55" s="83"/>
      <c r="BS55" s="83"/>
      <c r="BT55" s="83"/>
      <c r="BU55" s="83"/>
      <c r="BV55" s="83"/>
      <c r="BW55" s="83"/>
      <c r="BX55" s="83"/>
      <c r="BY55" s="83"/>
      <c r="BZ55" s="83"/>
      <c r="CA55" s="83"/>
      <c r="CB55" s="83"/>
      <c r="CC55" s="83"/>
    </row>
    <row r="56" spans="1:81">
      <c r="A56" s="83"/>
      <c r="B56" s="83"/>
      <c r="C56" s="83"/>
      <c r="D56" s="83"/>
      <c r="E56" s="83"/>
      <c r="F56" s="83"/>
      <c r="G56" s="83"/>
      <c r="H56" s="83"/>
      <c r="I56" s="83"/>
      <c r="J56" s="83"/>
      <c r="K56" s="83"/>
      <c r="L56" s="83"/>
      <c r="M56" s="83"/>
      <c r="N56" s="83"/>
      <c r="O56" s="83"/>
      <c r="P56" s="83"/>
      <c r="Q56" s="83"/>
      <c r="R56" s="83"/>
      <c r="S56" s="83"/>
      <c r="T56" s="83"/>
      <c r="U56" s="83"/>
      <c r="V56" s="83"/>
      <c r="W56" s="83"/>
      <c r="X56" s="83"/>
      <c r="Y56" s="83"/>
      <c r="Z56" s="83"/>
      <c r="AA56" s="83"/>
      <c r="AB56" s="83"/>
      <c r="AC56" s="83"/>
      <c r="AD56" s="83"/>
      <c r="AE56" s="83"/>
      <c r="AF56" s="83"/>
      <c r="AG56" s="83"/>
      <c r="AH56" s="83"/>
      <c r="AI56" s="83"/>
      <c r="AJ56" s="83"/>
      <c r="AK56" s="83"/>
      <c r="AL56" s="83"/>
      <c r="AM56" s="83"/>
      <c r="AN56" s="83"/>
      <c r="AO56" s="83"/>
      <c r="AP56" s="83"/>
      <c r="AQ56" s="83"/>
      <c r="AR56" s="83"/>
      <c r="AS56" s="83"/>
      <c r="AT56" s="83"/>
      <c r="AU56" s="83"/>
      <c r="AV56" s="83"/>
      <c r="AW56" s="83"/>
      <c r="AX56" s="83"/>
      <c r="AY56" s="83"/>
      <c r="AZ56" s="83"/>
      <c r="BA56" s="83"/>
      <c r="BB56" s="83"/>
      <c r="BC56" s="83"/>
      <c r="BD56" s="83"/>
      <c r="BE56" s="83"/>
      <c r="BF56" s="83"/>
      <c r="BG56" s="83"/>
      <c r="BH56" s="83"/>
      <c r="BI56" s="83"/>
      <c r="BJ56" s="83"/>
      <c r="BK56" s="83"/>
      <c r="BL56" s="83"/>
      <c r="BM56" s="83"/>
      <c r="BN56" s="83"/>
      <c r="BO56" s="83"/>
      <c r="BP56" s="83"/>
      <c r="BQ56" s="83"/>
      <c r="BR56" s="83"/>
      <c r="BS56" s="83"/>
      <c r="BT56" s="83"/>
      <c r="BU56" s="83"/>
      <c r="BV56" s="83"/>
      <c r="BW56" s="83"/>
      <c r="BX56" s="83"/>
      <c r="BY56" s="83"/>
      <c r="BZ56" s="83"/>
      <c r="CA56" s="83"/>
      <c r="CB56" s="83"/>
      <c r="CC56" s="83"/>
    </row>
    <row r="57" spans="1:81">
      <c r="A57" s="83"/>
      <c r="B57" s="83"/>
      <c r="C57" s="83"/>
      <c r="D57" s="83"/>
      <c r="E57" s="83"/>
      <c r="F57" s="83"/>
      <c r="G57" s="83"/>
      <c r="H57" s="83"/>
      <c r="I57" s="83"/>
      <c r="J57" s="83"/>
      <c r="K57" s="83"/>
      <c r="L57" s="83"/>
      <c r="M57" s="83"/>
      <c r="N57" s="83"/>
      <c r="O57" s="83"/>
      <c r="P57" s="83"/>
      <c r="Q57" s="83"/>
      <c r="R57" s="83"/>
      <c r="S57" s="83"/>
      <c r="T57" s="83"/>
      <c r="U57" s="83"/>
      <c r="V57" s="83"/>
      <c r="W57" s="83"/>
      <c r="X57" s="83"/>
      <c r="Y57" s="83"/>
      <c r="Z57" s="83"/>
      <c r="AA57" s="83"/>
      <c r="AB57" s="83"/>
      <c r="AC57" s="83"/>
      <c r="AD57" s="83"/>
      <c r="AE57" s="83"/>
      <c r="AF57" s="83"/>
      <c r="AG57" s="83"/>
      <c r="AH57" s="83"/>
      <c r="AI57" s="83"/>
      <c r="AJ57" s="83"/>
      <c r="AK57" s="83"/>
      <c r="AL57" s="83"/>
      <c r="AM57" s="83"/>
      <c r="AN57" s="83"/>
      <c r="AO57" s="83"/>
      <c r="AP57" s="83"/>
      <c r="AQ57" s="83"/>
      <c r="AR57" s="83"/>
      <c r="AS57" s="83"/>
      <c r="AT57" s="83"/>
      <c r="AU57" s="83"/>
      <c r="AV57" s="83"/>
      <c r="AW57" s="83"/>
      <c r="AX57" s="83"/>
      <c r="AY57" s="83"/>
      <c r="AZ57" s="83"/>
      <c r="BA57" s="83"/>
      <c r="BB57" s="83"/>
      <c r="BC57" s="83"/>
      <c r="BD57" s="83"/>
      <c r="BE57" s="83"/>
      <c r="BF57" s="83"/>
      <c r="BG57" s="83"/>
      <c r="BH57" s="83"/>
      <c r="BI57" s="83"/>
      <c r="BJ57" s="83"/>
      <c r="BK57" s="83"/>
      <c r="BL57" s="83"/>
      <c r="BM57" s="83"/>
      <c r="BN57" s="83"/>
      <c r="BO57" s="83"/>
      <c r="BP57" s="83"/>
      <c r="BQ57" s="83"/>
      <c r="BR57" s="83"/>
      <c r="BS57" s="83"/>
      <c r="BT57" s="83"/>
      <c r="BU57" s="83"/>
      <c r="BV57" s="83"/>
      <c r="BW57" s="83"/>
      <c r="BX57" s="83"/>
      <c r="BY57" s="83"/>
      <c r="BZ57" s="83"/>
      <c r="CA57" s="83"/>
      <c r="CB57" s="83"/>
      <c r="CC57" s="83"/>
    </row>
    <row r="58" spans="1:81">
      <c r="A58" s="83"/>
      <c r="B58" s="83"/>
      <c r="C58" s="83"/>
      <c r="D58" s="83"/>
      <c r="E58" s="83"/>
      <c r="F58" s="83"/>
      <c r="G58" s="83"/>
      <c r="H58" s="83"/>
      <c r="I58" s="83"/>
      <c r="J58" s="83"/>
      <c r="K58" s="83"/>
      <c r="L58" s="83"/>
      <c r="M58" s="83"/>
      <c r="N58" s="83"/>
      <c r="O58" s="83"/>
      <c r="P58" s="83"/>
      <c r="Q58" s="83"/>
      <c r="R58" s="83"/>
      <c r="S58" s="83"/>
      <c r="T58" s="83"/>
      <c r="U58" s="83"/>
      <c r="V58" s="83"/>
      <c r="W58" s="83"/>
      <c r="X58" s="83"/>
      <c r="Y58" s="83"/>
      <c r="Z58" s="83"/>
      <c r="AA58" s="83"/>
      <c r="AB58" s="83"/>
      <c r="AC58" s="83"/>
      <c r="AD58" s="83"/>
      <c r="AE58" s="83"/>
      <c r="AF58" s="83"/>
      <c r="AG58" s="83"/>
      <c r="AH58" s="83"/>
      <c r="AI58" s="83"/>
      <c r="AJ58" s="83"/>
      <c r="AK58" s="83"/>
      <c r="AL58" s="83"/>
      <c r="AM58" s="83"/>
      <c r="AN58" s="83"/>
      <c r="AO58" s="83"/>
      <c r="AP58" s="83"/>
      <c r="AQ58" s="83"/>
      <c r="AR58" s="83"/>
      <c r="AS58" s="83"/>
      <c r="AT58" s="83"/>
      <c r="AU58" s="83"/>
      <c r="AV58" s="83"/>
      <c r="AW58" s="83"/>
      <c r="AX58" s="83"/>
      <c r="AY58" s="83"/>
      <c r="AZ58" s="83"/>
      <c r="BA58" s="83"/>
      <c r="BB58" s="83"/>
      <c r="BC58" s="83"/>
      <c r="BD58" s="83"/>
      <c r="BE58" s="83"/>
      <c r="BF58" s="83"/>
      <c r="BG58" s="83"/>
      <c r="BH58" s="83"/>
      <c r="BI58" s="83"/>
      <c r="BJ58" s="83"/>
      <c r="BK58" s="83"/>
      <c r="BL58" s="83"/>
      <c r="BM58" s="83"/>
      <c r="BN58" s="83"/>
      <c r="BO58" s="83"/>
      <c r="BP58" s="83"/>
      <c r="BQ58" s="83"/>
      <c r="BR58" s="83"/>
      <c r="BS58" s="83"/>
      <c r="BT58" s="83"/>
      <c r="BU58" s="83"/>
      <c r="BV58" s="83"/>
      <c r="BW58" s="83"/>
      <c r="BX58" s="83"/>
      <c r="BY58" s="83"/>
      <c r="BZ58" s="83"/>
      <c r="CA58" s="83"/>
      <c r="CB58" s="83"/>
      <c r="CC58" s="83"/>
    </row>
    <row r="59" spans="1:81">
      <c r="A59" s="83"/>
      <c r="B59" s="83"/>
      <c r="C59" s="83"/>
      <c r="D59" s="83"/>
      <c r="E59" s="83"/>
      <c r="F59" s="83"/>
      <c r="G59" s="83"/>
      <c r="H59" s="83"/>
      <c r="I59" s="83"/>
      <c r="J59" s="83"/>
      <c r="K59" s="83"/>
      <c r="L59" s="83"/>
      <c r="M59" s="83"/>
      <c r="N59" s="83"/>
      <c r="O59" s="83"/>
      <c r="P59" s="83"/>
      <c r="Q59" s="83"/>
      <c r="R59" s="83"/>
      <c r="S59" s="83"/>
      <c r="T59" s="83"/>
      <c r="U59" s="83"/>
      <c r="V59" s="83"/>
      <c r="W59" s="83"/>
      <c r="X59" s="83"/>
      <c r="Y59" s="83"/>
      <c r="Z59" s="83"/>
      <c r="AA59" s="83"/>
      <c r="AB59" s="83"/>
      <c r="AC59" s="83"/>
      <c r="AD59" s="83"/>
      <c r="AE59" s="83"/>
      <c r="AF59" s="83"/>
      <c r="AG59" s="83"/>
      <c r="AH59" s="83"/>
      <c r="AI59" s="83"/>
      <c r="AJ59" s="83"/>
      <c r="AK59" s="83"/>
      <c r="AL59" s="83"/>
      <c r="AM59" s="83"/>
      <c r="AN59" s="83"/>
      <c r="AO59" s="83"/>
      <c r="AP59" s="83"/>
      <c r="AQ59" s="83"/>
      <c r="AR59" s="83"/>
      <c r="AS59" s="83"/>
      <c r="AT59" s="83"/>
      <c r="AU59" s="83"/>
      <c r="AV59" s="83"/>
      <c r="AW59" s="83"/>
      <c r="AX59" s="83"/>
      <c r="AY59" s="83"/>
      <c r="AZ59" s="83"/>
      <c r="BA59" s="83"/>
      <c r="BB59" s="83"/>
      <c r="BC59" s="83"/>
      <c r="BD59" s="83"/>
      <c r="BE59" s="83"/>
      <c r="BF59" s="83"/>
      <c r="BG59" s="83"/>
      <c r="BH59" s="83"/>
      <c r="BI59" s="83"/>
      <c r="BJ59" s="83"/>
      <c r="BK59" s="83"/>
      <c r="BL59" s="83"/>
      <c r="BM59" s="83"/>
      <c r="BN59" s="83"/>
      <c r="BO59" s="83"/>
      <c r="BP59" s="83"/>
      <c r="BQ59" s="83"/>
      <c r="BR59" s="83"/>
      <c r="BS59" s="83"/>
      <c r="BT59" s="83"/>
      <c r="BU59" s="83"/>
      <c r="BV59" s="83"/>
      <c r="BW59" s="83"/>
      <c r="BX59" s="83"/>
      <c r="BY59" s="83"/>
      <c r="BZ59" s="83"/>
      <c r="CA59" s="83"/>
      <c r="CB59" s="83"/>
      <c r="CC59" s="83"/>
    </row>
    <row r="60" spans="1:81">
      <c r="A60" s="83"/>
      <c r="B60" s="83"/>
      <c r="C60" s="83"/>
      <c r="D60" s="83"/>
      <c r="E60" s="83"/>
      <c r="F60" s="83"/>
      <c r="G60" s="83"/>
      <c r="H60" s="83"/>
      <c r="I60" s="83"/>
      <c r="J60" s="83"/>
      <c r="K60" s="83"/>
      <c r="L60" s="83"/>
      <c r="M60" s="83"/>
      <c r="N60" s="83"/>
      <c r="O60" s="83"/>
      <c r="P60" s="83"/>
      <c r="Q60" s="83"/>
      <c r="R60" s="83"/>
      <c r="S60" s="83"/>
      <c r="T60" s="83"/>
      <c r="U60" s="83"/>
      <c r="V60" s="83"/>
      <c r="W60" s="83"/>
      <c r="X60" s="83"/>
      <c r="Y60" s="83"/>
      <c r="Z60" s="83"/>
      <c r="AA60" s="83"/>
      <c r="AB60" s="83"/>
      <c r="AC60" s="83"/>
      <c r="AD60" s="83"/>
      <c r="AE60" s="83"/>
      <c r="AF60" s="83"/>
      <c r="AG60" s="83"/>
      <c r="AH60" s="83"/>
      <c r="AI60" s="83"/>
      <c r="AJ60" s="83"/>
      <c r="AK60" s="83"/>
      <c r="AL60" s="83"/>
      <c r="AM60" s="83"/>
      <c r="AN60" s="83"/>
      <c r="AO60" s="83"/>
      <c r="AP60" s="83"/>
      <c r="AQ60" s="83"/>
      <c r="AR60" s="83"/>
      <c r="AS60" s="83"/>
      <c r="AT60" s="83"/>
      <c r="AU60" s="83"/>
      <c r="AV60" s="83"/>
      <c r="AW60" s="83"/>
      <c r="AX60" s="83"/>
      <c r="AY60" s="83"/>
      <c r="AZ60" s="83"/>
      <c r="BA60" s="83"/>
      <c r="BB60" s="83"/>
      <c r="BC60" s="83"/>
      <c r="BD60" s="83"/>
      <c r="BE60" s="83"/>
      <c r="BF60" s="83"/>
      <c r="BG60" s="83"/>
      <c r="BH60" s="83"/>
      <c r="BI60" s="83"/>
      <c r="BJ60" s="83"/>
      <c r="BK60" s="83"/>
      <c r="BL60" s="83"/>
      <c r="BM60" s="83"/>
      <c r="BN60" s="83"/>
      <c r="BO60" s="83"/>
      <c r="BP60" s="83"/>
      <c r="BQ60" s="83"/>
      <c r="BR60" s="83"/>
      <c r="BS60" s="83"/>
      <c r="BT60" s="83"/>
      <c r="BU60" s="83"/>
      <c r="BV60" s="83"/>
      <c r="BW60" s="83"/>
      <c r="BX60" s="83"/>
      <c r="BY60" s="83"/>
      <c r="BZ60" s="83"/>
      <c r="CA60" s="83"/>
      <c r="CB60" s="83"/>
      <c r="CC60" s="83"/>
    </row>
    <row r="61" spans="1:81">
      <c r="A61" s="83"/>
      <c r="B61" s="83"/>
      <c r="C61" s="83"/>
      <c r="D61" s="83"/>
      <c r="E61" s="83"/>
      <c r="F61" s="83"/>
      <c r="G61" s="83"/>
      <c r="H61" s="83"/>
      <c r="I61" s="83"/>
      <c r="J61" s="83"/>
      <c r="K61" s="83"/>
      <c r="L61" s="83"/>
      <c r="M61" s="83"/>
      <c r="N61" s="83"/>
      <c r="O61" s="83"/>
      <c r="P61" s="83"/>
      <c r="Q61" s="83"/>
      <c r="R61" s="83"/>
      <c r="S61" s="83"/>
      <c r="T61" s="83"/>
      <c r="U61" s="83"/>
      <c r="V61" s="83"/>
      <c r="W61" s="83"/>
      <c r="X61" s="83"/>
      <c r="Y61" s="83"/>
      <c r="Z61" s="83"/>
      <c r="AA61" s="83"/>
      <c r="AB61" s="83"/>
      <c r="AC61" s="83"/>
      <c r="AD61" s="83"/>
      <c r="AE61" s="83"/>
      <c r="AF61" s="83"/>
      <c r="AG61" s="83"/>
      <c r="AH61" s="83"/>
      <c r="AI61" s="83"/>
      <c r="AJ61" s="83"/>
      <c r="AK61" s="83"/>
      <c r="AL61" s="83"/>
      <c r="AM61" s="83"/>
      <c r="AN61" s="83"/>
      <c r="AO61" s="83"/>
      <c r="AP61" s="83"/>
      <c r="AQ61" s="83"/>
      <c r="AR61" s="83"/>
      <c r="AS61" s="83"/>
      <c r="AT61" s="83"/>
      <c r="AU61" s="83"/>
      <c r="AV61" s="83"/>
      <c r="AW61" s="83"/>
      <c r="AX61" s="83"/>
      <c r="AY61" s="83"/>
      <c r="AZ61" s="83"/>
      <c r="BA61" s="83"/>
      <c r="BB61" s="83"/>
      <c r="BC61" s="83"/>
      <c r="BD61" s="83"/>
      <c r="BE61" s="83"/>
      <c r="BF61" s="83"/>
      <c r="BG61" s="83"/>
      <c r="BH61" s="83"/>
      <c r="BI61" s="83"/>
      <c r="BJ61" s="83"/>
      <c r="BK61" s="83"/>
      <c r="BL61" s="83"/>
      <c r="BM61" s="83"/>
      <c r="BN61" s="83"/>
      <c r="BO61" s="83"/>
      <c r="BP61" s="83"/>
      <c r="BQ61" s="83"/>
      <c r="BR61" s="83"/>
      <c r="BS61" s="83"/>
      <c r="BT61" s="83"/>
      <c r="BU61" s="83"/>
      <c r="BV61" s="83"/>
      <c r="BW61" s="83"/>
      <c r="BX61" s="83"/>
      <c r="BY61" s="83"/>
      <c r="BZ61" s="83"/>
      <c r="CA61" s="83"/>
      <c r="CB61" s="83"/>
      <c r="CC61" s="83"/>
    </row>
    <row r="62" spans="1:81">
      <c r="A62" s="83"/>
      <c r="B62" s="83"/>
      <c r="C62" s="83"/>
      <c r="D62" s="83"/>
      <c r="E62" s="83"/>
      <c r="F62" s="83"/>
      <c r="G62" s="83"/>
      <c r="H62" s="83"/>
      <c r="I62" s="83"/>
      <c r="J62" s="83"/>
      <c r="K62" s="83"/>
      <c r="L62" s="83"/>
      <c r="M62" s="83"/>
      <c r="N62" s="83"/>
      <c r="O62" s="83"/>
      <c r="P62" s="83"/>
      <c r="Q62" s="83"/>
      <c r="R62" s="83"/>
      <c r="S62" s="83"/>
      <c r="T62" s="83"/>
      <c r="U62" s="83"/>
      <c r="V62" s="83"/>
      <c r="W62" s="83"/>
      <c r="X62" s="83"/>
      <c r="Y62" s="83"/>
      <c r="Z62" s="83"/>
      <c r="AA62" s="83"/>
      <c r="AB62" s="83"/>
      <c r="AC62" s="83"/>
      <c r="AD62" s="83"/>
      <c r="AE62" s="83"/>
      <c r="AF62" s="83"/>
      <c r="AG62" s="83"/>
      <c r="AH62" s="83"/>
      <c r="AI62" s="83"/>
      <c r="AJ62" s="83"/>
      <c r="AK62" s="83"/>
      <c r="AL62" s="83"/>
      <c r="AM62" s="83"/>
      <c r="AN62" s="83"/>
      <c r="AO62" s="83"/>
      <c r="AP62" s="83"/>
      <c r="AQ62" s="83"/>
      <c r="AR62" s="83"/>
      <c r="AS62" s="83"/>
      <c r="AT62" s="83"/>
      <c r="AU62" s="83"/>
      <c r="AV62" s="83"/>
      <c r="AW62" s="83"/>
      <c r="AX62" s="83"/>
      <c r="AY62" s="83"/>
      <c r="AZ62" s="83"/>
      <c r="BA62" s="83"/>
      <c r="BB62" s="83"/>
      <c r="BC62" s="83"/>
      <c r="BD62" s="83"/>
      <c r="BE62" s="83"/>
      <c r="BF62" s="83"/>
      <c r="BG62" s="83"/>
      <c r="BH62" s="83"/>
      <c r="BI62" s="83"/>
      <c r="BJ62" s="83"/>
      <c r="BK62" s="83"/>
      <c r="BL62" s="83"/>
      <c r="BM62" s="83"/>
      <c r="BN62" s="83"/>
      <c r="BO62" s="83"/>
      <c r="BP62" s="83"/>
      <c r="BQ62" s="83"/>
      <c r="BR62" s="83"/>
      <c r="BS62" s="83"/>
      <c r="BT62" s="83"/>
      <c r="BU62" s="83"/>
      <c r="BV62" s="83"/>
      <c r="BW62" s="83"/>
      <c r="BX62" s="83"/>
      <c r="BY62" s="83"/>
      <c r="BZ62" s="83"/>
      <c r="CA62" s="83"/>
      <c r="CB62" s="83"/>
      <c r="CC62" s="83"/>
    </row>
    <row r="63" spans="1:81">
      <c r="A63" s="83"/>
      <c r="B63" s="83"/>
      <c r="C63" s="83"/>
      <c r="D63" s="83"/>
      <c r="E63" s="83"/>
      <c r="F63" s="83"/>
      <c r="G63" s="83"/>
      <c r="H63" s="83"/>
      <c r="I63" s="83"/>
      <c r="J63" s="83"/>
      <c r="K63" s="83"/>
      <c r="L63" s="83"/>
      <c r="M63" s="83"/>
      <c r="N63" s="83"/>
      <c r="O63" s="83"/>
      <c r="P63" s="83"/>
      <c r="Q63" s="83"/>
      <c r="R63" s="83"/>
      <c r="S63" s="83"/>
      <c r="T63" s="83"/>
      <c r="U63" s="83"/>
      <c r="V63" s="83"/>
      <c r="W63" s="83"/>
      <c r="X63" s="83"/>
      <c r="Y63" s="83"/>
      <c r="Z63" s="83"/>
      <c r="AA63" s="83"/>
      <c r="AB63" s="83"/>
      <c r="AC63" s="83"/>
      <c r="AD63" s="83"/>
      <c r="AE63" s="83"/>
      <c r="AF63" s="83"/>
      <c r="AG63" s="83"/>
      <c r="AH63" s="83"/>
      <c r="AI63" s="83"/>
      <c r="AJ63" s="83"/>
      <c r="AK63" s="83"/>
      <c r="AL63" s="83"/>
      <c r="AM63" s="83"/>
      <c r="AN63" s="83"/>
      <c r="AO63" s="83"/>
      <c r="AP63" s="83"/>
      <c r="AQ63" s="83"/>
      <c r="AR63" s="83"/>
      <c r="AS63" s="83"/>
      <c r="AT63" s="83"/>
      <c r="AU63" s="83"/>
      <c r="AV63" s="83"/>
      <c r="AW63" s="83"/>
      <c r="AX63" s="83"/>
      <c r="AY63" s="83"/>
      <c r="AZ63" s="83"/>
      <c r="BA63" s="83"/>
      <c r="BB63" s="83"/>
      <c r="BC63" s="83"/>
      <c r="BD63" s="83"/>
      <c r="BE63" s="83"/>
      <c r="BF63" s="83"/>
      <c r="BG63" s="83"/>
      <c r="BH63" s="83"/>
      <c r="BI63" s="83"/>
      <c r="BJ63" s="83"/>
      <c r="BK63" s="83"/>
      <c r="BL63" s="83"/>
      <c r="BM63" s="83"/>
      <c r="BN63" s="83"/>
      <c r="BO63" s="83"/>
      <c r="BP63" s="83"/>
      <c r="BQ63" s="83"/>
      <c r="BR63" s="83"/>
      <c r="BS63" s="83"/>
      <c r="BT63" s="83"/>
      <c r="BU63" s="83"/>
      <c r="BV63" s="83"/>
      <c r="BW63" s="83"/>
      <c r="BX63" s="83"/>
      <c r="BY63" s="83"/>
      <c r="BZ63" s="83"/>
      <c r="CA63" s="83"/>
      <c r="CB63" s="83"/>
      <c r="CC63" s="83"/>
    </row>
    <row r="64" spans="1:81">
      <c r="A64" s="83"/>
      <c r="B64" s="83"/>
      <c r="C64" s="83"/>
      <c r="D64" s="83"/>
      <c r="E64" s="83"/>
      <c r="F64" s="83"/>
      <c r="G64" s="83"/>
      <c r="H64" s="83"/>
      <c r="I64" s="83"/>
      <c r="J64" s="83"/>
      <c r="K64" s="83"/>
      <c r="L64" s="83"/>
      <c r="M64" s="83"/>
      <c r="N64" s="83"/>
      <c r="O64" s="83"/>
      <c r="P64" s="83"/>
      <c r="Q64" s="83"/>
      <c r="R64" s="83"/>
      <c r="S64" s="83"/>
      <c r="T64" s="83"/>
      <c r="U64" s="83"/>
      <c r="V64" s="83"/>
      <c r="W64" s="83"/>
      <c r="X64" s="83"/>
      <c r="Y64" s="83"/>
      <c r="Z64" s="83"/>
      <c r="AA64" s="83"/>
      <c r="AB64" s="83"/>
      <c r="AC64" s="83"/>
      <c r="AD64" s="83"/>
      <c r="AE64" s="83"/>
      <c r="AF64" s="83"/>
      <c r="AG64" s="83"/>
      <c r="AH64" s="83"/>
      <c r="AI64" s="83"/>
      <c r="AJ64" s="83"/>
      <c r="AK64" s="83"/>
      <c r="AL64" s="83"/>
      <c r="AM64" s="83"/>
      <c r="AN64" s="83"/>
      <c r="AO64" s="83"/>
      <c r="AP64" s="83"/>
      <c r="AQ64" s="83"/>
      <c r="AR64" s="83"/>
      <c r="AS64" s="83"/>
      <c r="AT64" s="83"/>
      <c r="AU64" s="83"/>
      <c r="AV64" s="83"/>
      <c r="AW64" s="83"/>
      <c r="AX64" s="83"/>
      <c r="AY64" s="83"/>
      <c r="AZ64" s="83"/>
      <c r="BA64" s="83"/>
      <c r="BB64" s="83"/>
      <c r="BC64" s="83"/>
      <c r="BD64" s="83"/>
      <c r="BE64" s="83"/>
      <c r="BF64" s="83"/>
      <c r="BG64" s="83"/>
      <c r="BH64" s="83"/>
      <c r="BI64" s="83"/>
      <c r="BJ64" s="83"/>
      <c r="BK64" s="83"/>
      <c r="BL64" s="83"/>
      <c r="BM64" s="83"/>
      <c r="BN64" s="83"/>
      <c r="BO64" s="83"/>
      <c r="BP64" s="83"/>
      <c r="BQ64" s="83"/>
      <c r="BR64" s="83"/>
      <c r="BS64" s="83"/>
      <c r="BT64" s="83"/>
      <c r="BU64" s="83"/>
      <c r="BV64" s="83"/>
      <c r="BW64" s="83"/>
      <c r="BX64" s="83"/>
      <c r="BY64" s="83"/>
      <c r="BZ64" s="83"/>
      <c r="CA64" s="83"/>
      <c r="CB64" s="83"/>
      <c r="CC64" s="83"/>
    </row>
  </sheetData>
  <sheetProtection algorithmName="SHA-512" hashValue="CKf8RA8DsKFyduT31+ITgbTNJe8gcp4VrO34gjqHYE+ebNMQbbA+hiU+gVI6JnVmP2A5M5rZztH1qVLFwz5qZA==" saltValue="+sENwfEmX3CsC9T7yaQD3w==" spinCount="100000" sheet="1" objects="1" scenarios="1"/>
  <hyperlinks>
    <hyperlink ref="I4" location="Abandonment!A1" display="Abandon" xr:uid="{00000000-0004-0000-1B00-000000000000}"/>
    <hyperlink ref="O4" location="'Federal Tax'!A1" display="Federal" xr:uid="{00000000-0004-0000-1B00-000001000000}"/>
    <hyperlink ref="N4" location="'Provincial Tax'!A1" display="Provincial" xr:uid="{00000000-0004-0000-1B00-000002000000}"/>
    <hyperlink ref="M4" location="Royalty!A1" display="Royalty" xr:uid="{00000000-0004-0000-1B00-000003000000}"/>
    <hyperlink ref="J4" location="Operations!A1" display="Operating" xr:uid="{00000000-0004-0000-1B00-000004000000}"/>
    <hyperlink ref="H4" location="Development!A1" display="Capital" xr:uid="{00000000-0004-0000-1B00-000005000000}"/>
    <hyperlink ref="F4" location="Exploration!A1" display="Exploration" xr:uid="{00000000-0004-0000-1B00-000006000000}"/>
    <hyperlink ref="H1" location="Guide" display="Guide" xr:uid="{00000000-0004-0000-1B00-000007000000}"/>
    <hyperlink ref="H2" location="Input" display="Input" xr:uid="{00000000-0004-0000-1B00-000008000000}"/>
  </hyperlinks>
  <pageMargins left="0.7" right="0.7" top="0.75" bottom="0.75" header="0.3" footer="0.3"/>
  <pageSetup paperSize="9" scale="52" fitToHeight="0" orientation="landscape" r:id="rId1"/>
  <headerFooter>
    <oddFooter>&amp;LNova Scotia Exploration Economics Model&amp;Rwww.indeva.com</oddFooter>
  </headerFooter>
  <colBreaks count="1" manualBreakCount="1">
    <brk id="21" max="1048575" man="1"/>
  </col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9">
    <tabColor theme="3" tint="0.79998168889431442"/>
    <pageSetUpPr fitToPage="1"/>
  </sheetPr>
  <dimension ref="A1:CI50"/>
  <sheetViews>
    <sheetView showGridLines="0" showRowColHeaders="0" showZeros="0" zoomScale="80" zoomScaleNormal="80" workbookViewId="0">
      <pane xSplit="1" ySplit="9" topLeftCell="B10" activePane="bottomRight" state="frozen"/>
      <selection activeCell="D43" sqref="D43"/>
      <selection pane="topRight" activeCell="D43" sqref="D43"/>
      <selection pane="bottomLeft" activeCell="D43" sqref="D43"/>
      <selection pane="bottomRight" activeCell="B10" sqref="B10"/>
    </sheetView>
  </sheetViews>
  <sheetFormatPr defaultRowHeight="15"/>
  <cols>
    <col min="1" max="1" width="27.140625" customWidth="1"/>
    <col min="2" max="2" width="13.7109375" customWidth="1"/>
    <col min="3" max="3" width="12.28515625" bestFit="1" customWidth="1"/>
    <col min="4" max="4" width="12.28515625" customWidth="1"/>
    <col min="5" max="5" width="11.5703125" bestFit="1" customWidth="1"/>
    <col min="6" max="6" width="12.7109375" bestFit="1" customWidth="1"/>
    <col min="7" max="7" width="12.7109375" customWidth="1"/>
    <col min="8" max="8" width="12.140625" customWidth="1"/>
    <col min="9" max="9" width="10.5703125" customWidth="1"/>
    <col min="10" max="10" width="11.140625" customWidth="1"/>
    <col min="11" max="11" width="11.7109375" customWidth="1"/>
    <col min="12" max="12" width="14" bestFit="1" customWidth="1"/>
    <col min="13" max="13" width="11.42578125" customWidth="1"/>
    <col min="14" max="15" width="11.28515625" bestFit="1" customWidth="1"/>
    <col min="16" max="16" width="11.5703125" bestFit="1" customWidth="1"/>
    <col min="17" max="17" width="14" bestFit="1" customWidth="1"/>
    <col min="30" max="31" width="9.28515625" bestFit="1" customWidth="1"/>
    <col min="33" max="33" width="12.140625" customWidth="1"/>
    <col min="34" max="34" width="16.5703125" customWidth="1"/>
    <col min="35" max="35" width="84.42578125" bestFit="1" customWidth="1"/>
    <col min="36" max="36" width="45.28515625" bestFit="1" customWidth="1"/>
    <col min="37" max="37" width="34.5703125" bestFit="1" customWidth="1"/>
    <col min="38" max="38" width="26.7109375" bestFit="1" customWidth="1"/>
    <col min="39" max="39" width="22" bestFit="1" customWidth="1"/>
    <col min="40" max="40" width="18.5703125" bestFit="1" customWidth="1"/>
    <col min="41" max="41" width="15.85546875" bestFit="1" customWidth="1"/>
    <col min="42" max="59" width="14.85546875" bestFit="1" customWidth="1"/>
    <col min="60" max="66" width="9.42578125" bestFit="1" customWidth="1"/>
    <col min="67" max="67" width="9.5703125" bestFit="1" customWidth="1"/>
    <col min="68" max="68" width="9.42578125" bestFit="1" customWidth="1"/>
    <col min="69" max="76" width="9.5703125" bestFit="1" customWidth="1"/>
    <col min="77" max="86" width="10" bestFit="1" customWidth="1"/>
    <col min="87" max="87" width="10.7109375" bestFit="1" customWidth="1"/>
  </cols>
  <sheetData>
    <row r="1" spans="1:87" ht="18.75">
      <c r="A1" s="92" t="str">
        <f>Input!B10</f>
        <v>Prospect X</v>
      </c>
      <c r="B1" s="92" t="str">
        <f>"Fully Risked"&amp;" Project Cash Flow ($Millions)"</f>
        <v>Fully Risked Project Cash Flow ($Millions)</v>
      </c>
      <c r="C1" s="64"/>
      <c r="D1" s="64"/>
      <c r="E1" s="64"/>
      <c r="F1" s="64"/>
      <c r="G1" s="64"/>
      <c r="H1" s="93" t="s">
        <v>756</v>
      </c>
      <c r="I1" s="64"/>
      <c r="J1" s="64"/>
      <c r="K1" s="64"/>
      <c r="L1" s="64"/>
      <c r="M1" s="64"/>
      <c r="N1" s="64"/>
      <c r="O1" s="64"/>
      <c r="P1" s="64"/>
      <c r="Q1" s="64"/>
      <c r="R1" s="64"/>
      <c r="S1" s="64"/>
      <c r="T1" s="1"/>
      <c r="U1" s="1"/>
      <c r="V1" s="1"/>
      <c r="W1" s="1"/>
      <c r="X1" s="1"/>
      <c r="Y1" s="1"/>
      <c r="Z1" s="1"/>
      <c r="AA1" s="1"/>
      <c r="AB1" s="1"/>
      <c r="AC1" s="1"/>
      <c r="AD1" s="479"/>
      <c r="AE1" s="479"/>
      <c r="AF1" s="479"/>
      <c r="AG1" s="480" t="s">
        <v>153</v>
      </c>
      <c r="AH1" s="480">
        <f ca="1">DATE(AH2,1,1)-Input!I14</f>
        <v>365</v>
      </c>
      <c r="AI1" s="480">
        <f ca="1">(DATE(AH2,1,1)-DATE(AH2-1,1,1))</f>
        <v>365</v>
      </c>
      <c r="AJ1" s="480">
        <f ca="1">AH1/AI1</f>
        <v>1</v>
      </c>
      <c r="AK1" s="480" t="s">
        <v>408</v>
      </c>
      <c r="AL1" s="480">
        <f ca="1">IF(OR(Input!I14&lt;Input!B12,NOT(YEAR(Input!B12)=YEAR(Input!I14))),1,(DATE(AH2,1,1)-Input!I14)/(DATE(AH2,1,1)-Input!B12))</f>
        <v>1</v>
      </c>
      <c r="AM1" s="480"/>
      <c r="AN1" s="480"/>
      <c r="AO1" s="480"/>
      <c r="AP1" s="480"/>
      <c r="AQ1" s="480"/>
      <c r="AR1" s="480"/>
      <c r="AS1" s="480"/>
      <c r="AT1" s="480"/>
      <c r="AU1" s="480"/>
      <c r="AV1" s="480"/>
      <c r="AW1" s="480"/>
      <c r="AX1" s="480"/>
      <c r="AY1" s="480"/>
      <c r="AZ1" s="480"/>
      <c r="BA1" s="480"/>
      <c r="BB1" s="480"/>
      <c r="BC1" s="480"/>
      <c r="BD1" s="480"/>
      <c r="BE1" s="480"/>
      <c r="BF1" s="480"/>
      <c r="BG1" s="480"/>
      <c r="BH1" s="480"/>
      <c r="BI1" s="480"/>
      <c r="BJ1" s="480"/>
      <c r="BK1" s="480"/>
      <c r="BL1" s="480"/>
      <c r="BM1" s="480"/>
      <c r="BN1" s="480"/>
      <c r="BO1" s="480"/>
      <c r="BP1" s="480"/>
      <c r="BQ1" s="480"/>
      <c r="BR1" s="480"/>
      <c r="BS1" s="480"/>
      <c r="BT1" s="480"/>
      <c r="BU1" s="480"/>
      <c r="BV1" s="480"/>
      <c r="BW1" s="480"/>
      <c r="BX1" s="480"/>
      <c r="BY1" s="480"/>
      <c r="BZ1" s="480"/>
      <c r="CA1" s="480"/>
      <c r="CB1" s="480"/>
      <c r="CC1" s="480"/>
      <c r="CD1" s="480"/>
      <c r="CE1" s="480"/>
      <c r="CF1" s="480"/>
      <c r="CG1" s="480"/>
      <c r="CH1" s="480"/>
      <c r="CI1" s="480"/>
    </row>
    <row r="2" spans="1:87" ht="18.75">
      <c r="A2" s="64"/>
      <c r="B2" s="64"/>
      <c r="C2" s="64"/>
      <c r="D2" s="64"/>
      <c r="E2" s="64"/>
      <c r="F2" s="64"/>
      <c r="G2" s="64"/>
      <c r="H2" s="93" t="s">
        <v>139</v>
      </c>
      <c r="I2" s="64"/>
      <c r="J2" s="64"/>
      <c r="K2" s="64"/>
      <c r="L2" s="64"/>
      <c r="M2" s="64"/>
      <c r="N2" s="64"/>
      <c r="O2" s="64"/>
      <c r="P2" s="64"/>
      <c r="Q2" s="64"/>
      <c r="R2" s="64"/>
      <c r="S2" s="64"/>
      <c r="T2" s="1"/>
      <c r="U2" s="1"/>
      <c r="V2" s="1"/>
      <c r="W2" s="1"/>
      <c r="X2" s="1"/>
      <c r="Y2" s="1"/>
      <c r="Z2" s="1"/>
      <c r="AA2" s="1"/>
      <c r="AB2" s="1"/>
      <c r="AC2" s="1"/>
      <c r="AD2" s="479"/>
      <c r="AE2" s="479"/>
      <c r="AF2" s="479"/>
      <c r="AG2" s="480" t="s">
        <v>409</v>
      </c>
      <c r="AH2" s="480">
        <f ca="1">YEAR(Input!I14)+1</f>
        <v>2027</v>
      </c>
      <c r="AI2" s="480"/>
      <c r="AJ2" s="480"/>
      <c r="AK2" s="480" t="s">
        <v>410</v>
      </c>
      <c r="AL2" s="480"/>
      <c r="AM2" s="480"/>
      <c r="AN2" s="480"/>
      <c r="AO2" s="480"/>
      <c r="AP2" s="480">
        <f t="array" ref="AP2:CC2" ca="1">TRANSPOSE($AG$10:$AG$50)</f>
        <v>1</v>
      </c>
      <c r="AQ2" s="480">
        <f ca="1"/>
        <v>1</v>
      </c>
      <c r="AR2" s="480">
        <f ca="1"/>
        <v>1</v>
      </c>
      <c r="AS2" s="480">
        <f ca="1"/>
        <v>0.95346258924559224</v>
      </c>
      <c r="AT2" s="480">
        <f ca="1"/>
        <v>0.86678417204144742</v>
      </c>
      <c r="AU2" s="480">
        <f ca="1"/>
        <v>0.78798561094677033</v>
      </c>
      <c r="AV2" s="480">
        <f ca="1"/>
        <v>0.71635055540615489</v>
      </c>
      <c r="AW2" s="480">
        <f ca="1"/>
        <v>0.65122777764195883</v>
      </c>
      <c r="AX2" s="480">
        <f ca="1"/>
        <v>0.59202525240178083</v>
      </c>
      <c r="AY2" s="480">
        <f ca="1"/>
        <v>0.53820477491070973</v>
      </c>
      <c r="AZ2" s="480">
        <f ca="1"/>
        <v>0.48927706810064514</v>
      </c>
      <c r="BA2" s="480">
        <f ca="1"/>
        <v>0.44479733463695009</v>
      </c>
      <c r="BB2" s="480">
        <f ca="1"/>
        <v>0.4043612133063183</v>
      </c>
      <c r="BC2" s="480">
        <f ca="1"/>
        <v>0.36760110300574383</v>
      </c>
      <c r="BD2" s="480">
        <f ca="1"/>
        <v>0.33418282091431251</v>
      </c>
      <c r="BE2" s="480">
        <f ca="1"/>
        <v>0.30380256446755688</v>
      </c>
      <c r="BF2" s="480">
        <f ca="1"/>
        <v>0.27618414951596076</v>
      </c>
      <c r="BG2" s="480">
        <f ca="1"/>
        <v>0.25107649955996431</v>
      </c>
      <c r="BH2" s="480">
        <f ca="1"/>
        <v>0.22825136323633116</v>
      </c>
      <c r="BI2" s="480">
        <f ca="1"/>
        <v>0.20750123930575562</v>
      </c>
      <c r="BJ2" s="480">
        <f ca="1"/>
        <v>0.18863749027795962</v>
      </c>
      <c r="BK2" s="480">
        <f ca="1"/>
        <v>0.17148862752541782</v>
      </c>
      <c r="BL2" s="480">
        <f ca="1"/>
        <v>0.15589875229583436</v>
      </c>
      <c r="BM2" s="480">
        <f ca="1"/>
        <v>0.14172613845075852</v>
      </c>
      <c r="BN2" s="480">
        <f ca="1"/>
        <v>0.1288419440461441</v>
      </c>
      <c r="BO2" s="480">
        <f ca="1"/>
        <v>0.11712904004194918</v>
      </c>
      <c r="BP2" s="480">
        <f ca="1"/>
        <v>0.10648094549268106</v>
      </c>
      <c r="BQ2" s="480">
        <f ca="1"/>
        <v>9.6800859538800965E-2</v>
      </c>
      <c r="BR2" s="480">
        <f ca="1"/>
        <v>8.8000781398909919E-2</v>
      </c>
      <c r="BS2" s="480">
        <f ca="1"/>
        <v>8.0000710362645402E-2</v>
      </c>
      <c r="BT2" s="480">
        <f ca="1"/>
        <v>7.272791851149582E-2</v>
      </c>
      <c r="BU2" s="480">
        <f ca="1"/>
        <v>6.6116289555905275E-2</v>
      </c>
      <c r="BV2" s="480">
        <v>0</v>
      </c>
      <c r="BW2" s="480">
        <v>0</v>
      </c>
      <c r="BX2" s="480">
        <v>0</v>
      </c>
      <c r="BY2" s="480">
        <v>0</v>
      </c>
      <c r="BZ2" s="480">
        <v>0</v>
      </c>
      <c r="CA2" s="480">
        <v>0</v>
      </c>
      <c r="CB2" s="480">
        <v>0</v>
      </c>
      <c r="CC2" s="480">
        <v>0</v>
      </c>
      <c r="CD2" s="480"/>
      <c r="CE2" s="480"/>
      <c r="CF2" s="480"/>
      <c r="CG2" s="480"/>
      <c r="CH2" s="480"/>
      <c r="CI2" s="480"/>
    </row>
    <row r="3" spans="1:87">
      <c r="A3" s="64"/>
      <c r="B3" s="64"/>
      <c r="C3" s="193"/>
      <c r="D3" s="64"/>
      <c r="E3" s="64"/>
      <c r="F3" s="64"/>
      <c r="G3" s="64"/>
      <c r="H3" s="64"/>
      <c r="I3" s="64"/>
      <c r="J3" s="64"/>
      <c r="K3" s="64"/>
      <c r="L3" s="64"/>
      <c r="M3" s="64"/>
      <c r="N3" s="64"/>
      <c r="O3" s="64"/>
      <c r="P3" s="64"/>
      <c r="Q3" s="64"/>
      <c r="R3" s="64"/>
      <c r="S3" s="64"/>
      <c r="T3" s="1"/>
      <c r="U3" s="1"/>
      <c r="V3" s="1"/>
      <c r="W3" s="1"/>
      <c r="X3" s="1"/>
      <c r="Y3" s="1"/>
      <c r="Z3" s="1"/>
      <c r="AA3" s="1"/>
      <c r="AB3" s="1"/>
      <c r="AC3" s="1"/>
      <c r="AD3" s="479"/>
      <c r="AE3" s="479"/>
      <c r="AF3" s="479"/>
      <c r="AG3" s="480"/>
      <c r="AH3" s="480"/>
      <c r="AI3" s="480"/>
      <c r="AJ3" s="480"/>
      <c r="AK3" s="480"/>
      <c r="AL3" s="480"/>
      <c r="AM3" s="480" t="s">
        <v>411</v>
      </c>
      <c r="AN3" s="480"/>
      <c r="AO3" s="480"/>
      <c r="AP3" s="480">
        <f t="array" aca="1" ref="AP3:CC3" ca="1">TRANSPOSE($AH$10:$AH$50)</f>
        <v>0</v>
      </c>
      <c r="AQ3" s="480">
        <f ca="1"/>
        <v>0</v>
      </c>
      <c r="AR3" s="480">
        <f ca="1"/>
        <v>0</v>
      </c>
      <c r="AS3" s="480">
        <f ca="1"/>
        <v>0.95346258924559224</v>
      </c>
      <c r="AT3" s="480">
        <f ca="1"/>
        <v>0.86678417204144742</v>
      </c>
      <c r="AU3" s="480">
        <f ca="1"/>
        <v>0.78798561094677033</v>
      </c>
      <c r="AV3" s="480">
        <f ca="1"/>
        <v>0.71635055540615489</v>
      </c>
      <c r="AW3" s="480">
        <f ca="1"/>
        <v>0.65122777764195883</v>
      </c>
      <c r="AX3" s="480">
        <f ca="1"/>
        <v>0.59202525240178083</v>
      </c>
      <c r="AY3" s="480">
        <f ca="1"/>
        <v>0.53820477491070973</v>
      </c>
      <c r="AZ3" s="480">
        <f ca="1"/>
        <v>0.48927706810064514</v>
      </c>
      <c r="BA3" s="480">
        <f ca="1"/>
        <v>0.44479733463695009</v>
      </c>
      <c r="BB3" s="480">
        <f ca="1"/>
        <v>0.4043612133063183</v>
      </c>
      <c r="BC3" s="480">
        <f ca="1"/>
        <v>0.36760110300574383</v>
      </c>
      <c r="BD3" s="480">
        <f ca="1"/>
        <v>0.33418282091431251</v>
      </c>
      <c r="BE3" s="480">
        <f ca="1"/>
        <v>0.30380256446755688</v>
      </c>
      <c r="BF3" s="480">
        <f ca="1"/>
        <v>0.27618414951596076</v>
      </c>
      <c r="BG3" s="480">
        <f ca="1"/>
        <v>0.25107649955996431</v>
      </c>
      <c r="BH3" s="480">
        <f ca="1"/>
        <v>0.22825136323633116</v>
      </c>
      <c r="BI3" s="480">
        <f ca="1"/>
        <v>0.20750123930575562</v>
      </c>
      <c r="BJ3" s="480">
        <f ca="1"/>
        <v>0.18863749027795962</v>
      </c>
      <c r="BK3" s="480">
        <f ca="1"/>
        <v>0.17148862752541782</v>
      </c>
      <c r="BL3" s="480">
        <f ca="1"/>
        <v>0.15589875229583436</v>
      </c>
      <c r="BM3" s="480">
        <f ca="1"/>
        <v>0.14172613845075852</v>
      </c>
      <c r="BN3" s="480">
        <f ca="1"/>
        <v>0.1288419440461441</v>
      </c>
      <c r="BO3" s="480">
        <f ca="1"/>
        <v>0.11712904004194918</v>
      </c>
      <c r="BP3" s="480">
        <f ca="1"/>
        <v>0.10648094549268106</v>
      </c>
      <c r="BQ3" s="480">
        <f ca="1"/>
        <v>9.6800859538800965E-2</v>
      </c>
      <c r="BR3" s="480">
        <f ca="1"/>
        <v>8.8000781398909919E-2</v>
      </c>
      <c r="BS3" s="480">
        <f ca="1"/>
        <v>8.0000710362645402E-2</v>
      </c>
      <c r="BT3" s="480">
        <f ca="1"/>
        <v>7.272791851149582E-2</v>
      </c>
      <c r="BU3" s="480">
        <f ca="1"/>
        <v>6.6116289555905275E-2</v>
      </c>
      <c r="BV3" s="480">
        <f ca="1"/>
        <v>6.0105717778095702E-2</v>
      </c>
      <c r="BW3" s="480">
        <f ca="1"/>
        <v>0</v>
      </c>
      <c r="BX3" s="480">
        <f ca="1"/>
        <v>0</v>
      </c>
      <c r="BY3" s="480">
        <f ca="1"/>
        <v>0</v>
      </c>
      <c r="BZ3" s="480">
        <f ca="1"/>
        <v>0</v>
      </c>
      <c r="CA3" s="480">
        <f ca="1"/>
        <v>0</v>
      </c>
      <c r="CB3" s="480">
        <f ca="1"/>
        <v>0</v>
      </c>
      <c r="CC3" s="480">
        <f ca="1"/>
        <v>0</v>
      </c>
      <c r="CD3" s="480"/>
      <c r="CE3" s="480"/>
      <c r="CF3" s="480"/>
      <c r="CG3" s="480"/>
      <c r="CH3" s="480"/>
      <c r="CI3" s="480"/>
    </row>
    <row r="4" spans="1:87">
      <c r="A4" s="106" t="s">
        <v>14</v>
      </c>
      <c r="B4" s="89" t="s">
        <v>329</v>
      </c>
      <c r="C4" s="89" t="s">
        <v>635</v>
      </c>
      <c r="D4" s="89" t="s">
        <v>929</v>
      </c>
      <c r="E4" s="89" t="s">
        <v>13</v>
      </c>
      <c r="F4" s="201" t="s">
        <v>215</v>
      </c>
      <c r="G4" s="201" t="s">
        <v>1087</v>
      </c>
      <c r="H4" s="201" t="s">
        <v>17</v>
      </c>
      <c r="I4" s="201" t="s">
        <v>59</v>
      </c>
      <c r="J4" s="201" t="s">
        <v>18</v>
      </c>
      <c r="K4" s="89" t="s">
        <v>13</v>
      </c>
      <c r="L4" s="89" t="s">
        <v>135</v>
      </c>
      <c r="M4" s="201" t="s">
        <v>38</v>
      </c>
      <c r="N4" s="201" t="s">
        <v>399</v>
      </c>
      <c r="O4" s="201" t="s">
        <v>400</v>
      </c>
      <c r="P4" s="89" t="s">
        <v>13</v>
      </c>
      <c r="Q4" s="89" t="s">
        <v>135</v>
      </c>
      <c r="R4" s="115"/>
      <c r="S4" s="115"/>
      <c r="T4" s="401"/>
      <c r="U4" s="401"/>
      <c r="V4" s="401"/>
      <c r="W4" s="401"/>
      <c r="X4" s="401"/>
      <c r="Y4" s="401"/>
      <c r="Z4" s="1"/>
      <c r="AA4" s="1"/>
      <c r="AB4" s="1"/>
      <c r="AC4" s="1"/>
      <c r="AD4" s="479" t="s">
        <v>412</v>
      </c>
      <c r="AE4" s="481" t="s">
        <v>13</v>
      </c>
      <c r="AF4" s="481"/>
      <c r="AG4" s="444"/>
      <c r="AH4" s="444" t="s">
        <v>413</v>
      </c>
      <c r="AI4" s="444"/>
      <c r="AJ4" s="444">
        <f ca="1">MIN(AI9:CI9)</f>
        <v>0.29234760916498287</v>
      </c>
      <c r="AK4" s="444">
        <f ca="1">IF(AJ4=0,NA(),AJ4)</f>
        <v>0.29234760916498287</v>
      </c>
      <c r="AL4" s="444"/>
      <c r="AM4" s="444"/>
      <c r="AN4" s="444"/>
      <c r="AO4" s="444"/>
      <c r="AP4" s="480">
        <f t="array" ref="AP4:CC4" ca="1">TRANSPOSE($AF$10:$AF$50)</f>
        <v>0</v>
      </c>
      <c r="AQ4" s="480">
        <f ca="1"/>
        <v>0</v>
      </c>
      <c r="AR4" s="480">
        <f ca="1"/>
        <v>0</v>
      </c>
      <c r="AS4" s="480">
        <f ca="1"/>
        <v>0.95346258924559224</v>
      </c>
      <c r="AT4" s="480">
        <f ca="1"/>
        <v>0.86678417204144742</v>
      </c>
      <c r="AU4" s="480">
        <f ca="1"/>
        <v>0.78798561094677033</v>
      </c>
      <c r="AV4" s="480">
        <f ca="1"/>
        <v>0.71635055540615489</v>
      </c>
      <c r="AW4" s="480">
        <f ca="1"/>
        <v>0.65122777764195883</v>
      </c>
      <c r="AX4" s="480">
        <f ca="1"/>
        <v>0.59202525240178083</v>
      </c>
      <c r="AY4" s="480">
        <f ca="1"/>
        <v>0.53820477491070973</v>
      </c>
      <c r="AZ4" s="480">
        <f ca="1"/>
        <v>0.48927706810064514</v>
      </c>
      <c r="BA4" s="480">
        <f ca="1"/>
        <v>0.44479733463695009</v>
      </c>
      <c r="BB4" s="480">
        <f ca="1"/>
        <v>0.4043612133063183</v>
      </c>
      <c r="BC4" s="480">
        <f ca="1"/>
        <v>0.36760110300574383</v>
      </c>
      <c r="BD4" s="480">
        <f ca="1"/>
        <v>0.33418282091431251</v>
      </c>
      <c r="BE4" s="480">
        <f ca="1"/>
        <v>0.30380256446755688</v>
      </c>
      <c r="BF4" s="480">
        <f ca="1"/>
        <v>0.27618414951596076</v>
      </c>
      <c r="BG4" s="480">
        <f ca="1"/>
        <v>0.25107649955996431</v>
      </c>
      <c r="BH4" s="480">
        <f ca="1"/>
        <v>0.22825136323633116</v>
      </c>
      <c r="BI4" s="480">
        <f ca="1"/>
        <v>0.20750123930575562</v>
      </c>
      <c r="BJ4" s="480">
        <f ca="1"/>
        <v>0.18863749027795962</v>
      </c>
      <c r="BK4" s="480">
        <f ca="1"/>
        <v>0.17148862752541782</v>
      </c>
      <c r="BL4" s="480">
        <f ca="1"/>
        <v>0.15589875229583436</v>
      </c>
      <c r="BM4" s="480">
        <f ca="1"/>
        <v>0.14172613845075852</v>
      </c>
      <c r="BN4" s="480">
        <f ca="1"/>
        <v>0.1288419440461441</v>
      </c>
      <c r="BO4" s="480">
        <f ca="1"/>
        <v>0.11712904004194918</v>
      </c>
      <c r="BP4" s="480">
        <f ca="1"/>
        <v>0.10648094549268106</v>
      </c>
      <c r="BQ4" s="480">
        <f ca="1"/>
        <v>9.6800859538800965E-2</v>
      </c>
      <c r="BR4" s="480">
        <f ca="1"/>
        <v>8.8000781398909919E-2</v>
      </c>
      <c r="BS4" s="480">
        <f ca="1"/>
        <v>8.0000710362645402E-2</v>
      </c>
      <c r="BT4" s="480">
        <f ca="1"/>
        <v>7.272791851149582E-2</v>
      </c>
      <c r="BU4" s="480">
        <f ca="1"/>
        <v>6.6116289555905275E-2</v>
      </c>
      <c r="BV4" s="480">
        <f ca="1"/>
        <v>6.0105717778095702E-2</v>
      </c>
      <c r="BW4" s="480">
        <f ca="1"/>
        <v>0</v>
      </c>
      <c r="BX4" s="480">
        <f ca="1"/>
        <v>0</v>
      </c>
      <c r="BY4" s="480">
        <f ca="1"/>
        <v>0</v>
      </c>
      <c r="BZ4" s="480">
        <f ca="1"/>
        <v>0</v>
      </c>
      <c r="CA4" s="480">
        <f ca="1"/>
        <v>0</v>
      </c>
      <c r="CB4" s="480">
        <f ca="1"/>
        <v>0</v>
      </c>
      <c r="CC4" s="480">
        <f ca="1"/>
        <v>0</v>
      </c>
      <c r="CD4" s="444"/>
      <c r="CE4" s="444"/>
      <c r="CF4" s="444"/>
      <c r="CG4" s="444"/>
      <c r="CH4" s="444"/>
      <c r="CI4" s="444"/>
    </row>
    <row r="5" spans="1:87">
      <c r="A5" s="110"/>
      <c r="B5" s="97" t="s">
        <v>15</v>
      </c>
      <c r="C5" s="97" t="s">
        <v>15</v>
      </c>
      <c r="D5" s="97" t="s">
        <v>15</v>
      </c>
      <c r="E5" s="97" t="s">
        <v>15</v>
      </c>
      <c r="F5" s="97" t="s">
        <v>42</v>
      </c>
      <c r="G5" s="97" t="s">
        <v>1028</v>
      </c>
      <c r="H5" s="97" t="s">
        <v>41</v>
      </c>
      <c r="I5" s="97" t="s">
        <v>42</v>
      </c>
      <c r="J5" s="97" t="s">
        <v>42</v>
      </c>
      <c r="K5" s="97" t="s">
        <v>41</v>
      </c>
      <c r="L5" s="97" t="s">
        <v>403</v>
      </c>
      <c r="M5" s="97"/>
      <c r="N5" s="97" t="s">
        <v>404</v>
      </c>
      <c r="O5" s="97" t="s">
        <v>404</v>
      </c>
      <c r="P5" s="97" t="s">
        <v>405</v>
      </c>
      <c r="Q5" s="97" t="s">
        <v>406</v>
      </c>
      <c r="R5" s="115"/>
      <c r="S5" s="115"/>
      <c r="T5" s="401"/>
      <c r="U5" s="401"/>
      <c r="V5" s="401"/>
      <c r="W5" s="401"/>
      <c r="X5" s="401"/>
      <c r="Y5" s="401"/>
      <c r="Z5" s="1"/>
      <c r="AA5" s="1"/>
      <c r="AB5" s="1"/>
      <c r="AC5" s="1"/>
      <c r="AD5" s="479"/>
      <c r="AE5" s="481" t="s">
        <v>414</v>
      </c>
      <c r="AF5" s="481"/>
      <c r="AG5" s="445"/>
      <c r="AH5" s="445" t="s">
        <v>415</v>
      </c>
      <c r="AI5" s="445"/>
      <c r="AJ5" s="445"/>
      <c r="AK5" s="445"/>
      <c r="AL5" s="445"/>
      <c r="AM5" s="445"/>
      <c r="AN5" s="445"/>
      <c r="AO5" s="445"/>
      <c r="AP5" s="445"/>
      <c r="AQ5" s="445"/>
      <c r="AR5" s="445"/>
      <c r="AS5" s="445"/>
      <c r="AT5" s="445"/>
      <c r="AU5" s="445"/>
      <c r="AV5" s="445"/>
      <c r="AW5" s="445"/>
      <c r="AX5" s="445"/>
      <c r="AY5" s="445"/>
      <c r="AZ5" s="445"/>
      <c r="BA5" s="445"/>
      <c r="BB5" s="445"/>
      <c r="BC5" s="445"/>
      <c r="BD5" s="445"/>
      <c r="BE5" s="445"/>
      <c r="BF5" s="445"/>
      <c r="BG5" s="445"/>
      <c r="BH5" s="445"/>
      <c r="BI5" s="445"/>
      <c r="BJ5" s="445"/>
      <c r="BK5" s="445"/>
      <c r="BL5" s="445"/>
      <c r="BM5" s="445"/>
      <c r="BN5" s="445"/>
      <c r="BO5" s="445"/>
      <c r="BP5" s="445"/>
      <c r="BQ5" s="445"/>
      <c r="BR5" s="445"/>
      <c r="BS5" s="445"/>
      <c r="BT5" s="445"/>
      <c r="BU5" s="445"/>
      <c r="BV5" s="445"/>
      <c r="BW5" s="445"/>
      <c r="BX5" s="445"/>
      <c r="BY5" s="445"/>
      <c r="BZ5" s="445"/>
      <c r="CA5" s="445"/>
      <c r="CB5" s="445"/>
      <c r="CC5" s="445"/>
      <c r="CD5" s="445"/>
      <c r="CE5" s="445"/>
      <c r="CF5" s="445"/>
      <c r="CG5" s="445"/>
      <c r="CH5" s="445"/>
      <c r="CI5" s="445"/>
    </row>
    <row r="6" spans="1:87">
      <c r="A6" s="108"/>
      <c r="B6" s="89"/>
      <c r="C6" s="89"/>
      <c r="D6" s="89"/>
      <c r="E6" s="89"/>
      <c r="F6" s="89"/>
      <c r="G6" s="89"/>
      <c r="H6" s="89"/>
      <c r="I6" s="89"/>
      <c r="J6" s="89"/>
      <c r="K6" s="89"/>
      <c r="L6" s="89"/>
      <c r="M6" s="89"/>
      <c r="N6" s="89"/>
      <c r="O6" s="89"/>
      <c r="P6" s="89"/>
      <c r="Q6" s="89"/>
      <c r="R6" s="115"/>
      <c r="S6" s="115"/>
      <c r="T6" s="401"/>
      <c r="U6" s="401"/>
      <c r="V6" s="401"/>
      <c r="W6" s="401"/>
      <c r="X6" s="401"/>
      <c r="Y6" s="401"/>
      <c r="Z6" s="1"/>
      <c r="AA6" s="1"/>
      <c r="AB6" s="1"/>
      <c r="AC6" s="1"/>
      <c r="AD6" s="479"/>
      <c r="AE6" s="479"/>
      <c r="AF6" s="479"/>
      <c r="AG6" s="444"/>
      <c r="AH6" s="444">
        <f>Input!B4</f>
        <v>0.1</v>
      </c>
      <c r="AI6" s="444">
        <v>-0.99</v>
      </c>
      <c r="AJ6" s="444">
        <v>-0.9</v>
      </c>
      <c r="AK6" s="444">
        <f>AJ6+0.1</f>
        <v>-0.8</v>
      </c>
      <c r="AL6" s="444">
        <f t="shared" ref="AL6:AS6" si="0">AK6+0.1</f>
        <v>-0.70000000000000007</v>
      </c>
      <c r="AM6" s="444">
        <f t="shared" si="0"/>
        <v>-0.60000000000000009</v>
      </c>
      <c r="AN6" s="444">
        <f t="shared" si="0"/>
        <v>-0.50000000000000011</v>
      </c>
      <c r="AO6" s="444">
        <f t="shared" si="0"/>
        <v>-0.40000000000000013</v>
      </c>
      <c r="AP6" s="444">
        <f t="shared" si="0"/>
        <v>-0.30000000000000016</v>
      </c>
      <c r="AQ6" s="444">
        <f t="shared" si="0"/>
        <v>-0.20000000000000015</v>
      </c>
      <c r="AR6" s="444">
        <f t="shared" si="0"/>
        <v>-0.10000000000000014</v>
      </c>
      <c r="AS6" s="444">
        <f t="shared" si="0"/>
        <v>-1.3877787807814457E-16</v>
      </c>
      <c r="AT6" s="444">
        <f t="shared" ref="AT6:BC6" si="1">AS6+0.01</f>
        <v>9.9999999999998614E-3</v>
      </c>
      <c r="AU6" s="444">
        <f t="shared" si="1"/>
        <v>1.9999999999999862E-2</v>
      </c>
      <c r="AV6" s="444">
        <f t="shared" si="1"/>
        <v>2.999999999999986E-2</v>
      </c>
      <c r="AW6" s="444">
        <f t="shared" si="1"/>
        <v>3.9999999999999862E-2</v>
      </c>
      <c r="AX6" s="444">
        <f t="shared" si="1"/>
        <v>4.9999999999999864E-2</v>
      </c>
      <c r="AY6" s="444">
        <f t="shared" si="1"/>
        <v>5.9999999999999866E-2</v>
      </c>
      <c r="AZ6" s="444">
        <f t="shared" si="1"/>
        <v>6.9999999999999868E-2</v>
      </c>
      <c r="BA6" s="444">
        <f t="shared" si="1"/>
        <v>7.9999999999999863E-2</v>
      </c>
      <c r="BB6" s="444">
        <f t="shared" si="1"/>
        <v>8.9999999999999858E-2</v>
      </c>
      <c r="BC6" s="444">
        <f t="shared" si="1"/>
        <v>9.9999999999999853E-2</v>
      </c>
      <c r="BD6" s="444">
        <f t="shared" ref="BD6:BI6" si="2">BC6+0.05</f>
        <v>0.14999999999999986</v>
      </c>
      <c r="BE6" s="444">
        <f t="shared" si="2"/>
        <v>0.19999999999999984</v>
      </c>
      <c r="BF6" s="444">
        <f t="shared" si="2"/>
        <v>0.24999999999999983</v>
      </c>
      <c r="BG6" s="444">
        <f t="shared" si="2"/>
        <v>0.29999999999999982</v>
      </c>
      <c r="BH6" s="444">
        <f t="shared" si="2"/>
        <v>0.34999999999999981</v>
      </c>
      <c r="BI6" s="444">
        <f t="shared" si="2"/>
        <v>0.3999999999999998</v>
      </c>
      <c r="BJ6" s="444">
        <f t="shared" ref="BJ6:BY6" si="3">BI6+0.1</f>
        <v>0.49999999999999978</v>
      </c>
      <c r="BK6" s="444">
        <f t="shared" si="3"/>
        <v>0.59999999999999976</v>
      </c>
      <c r="BL6" s="444">
        <f t="shared" si="3"/>
        <v>0.69999999999999973</v>
      </c>
      <c r="BM6" s="444">
        <f t="shared" si="3"/>
        <v>0.79999999999999971</v>
      </c>
      <c r="BN6" s="444">
        <f t="shared" si="3"/>
        <v>0.89999999999999969</v>
      </c>
      <c r="BO6" s="444">
        <f t="shared" si="3"/>
        <v>0.99999999999999967</v>
      </c>
      <c r="BP6" s="444">
        <f t="shared" si="3"/>
        <v>1.0999999999999996</v>
      </c>
      <c r="BQ6" s="444">
        <f t="shared" si="3"/>
        <v>1.1999999999999997</v>
      </c>
      <c r="BR6" s="444">
        <f t="shared" si="3"/>
        <v>1.2999999999999998</v>
      </c>
      <c r="BS6" s="444">
        <f t="shared" si="3"/>
        <v>1.4</v>
      </c>
      <c r="BT6" s="444">
        <f t="shared" si="3"/>
        <v>1.5</v>
      </c>
      <c r="BU6" s="444">
        <f t="shared" si="3"/>
        <v>1.6</v>
      </c>
      <c r="BV6" s="444">
        <f t="shared" si="3"/>
        <v>1.7000000000000002</v>
      </c>
      <c r="BW6" s="444">
        <f t="shared" si="3"/>
        <v>1.8000000000000003</v>
      </c>
      <c r="BX6" s="444">
        <f t="shared" si="3"/>
        <v>1.9000000000000004</v>
      </c>
      <c r="BY6" s="444">
        <f t="shared" si="3"/>
        <v>2.0000000000000004</v>
      </c>
      <c r="BZ6" s="444">
        <f>BY6+0.5</f>
        <v>2.5000000000000004</v>
      </c>
      <c r="CA6" s="444">
        <f>BZ6+0.5</f>
        <v>3.0000000000000004</v>
      </c>
      <c r="CB6" s="444">
        <f>CA6+0.5</f>
        <v>3.5000000000000004</v>
      </c>
      <c r="CC6" s="444">
        <f t="shared" ref="CC6:CI6" si="4">CB6+1</f>
        <v>4.5</v>
      </c>
      <c r="CD6" s="444">
        <f t="shared" si="4"/>
        <v>5.5</v>
      </c>
      <c r="CE6" s="444">
        <f t="shared" si="4"/>
        <v>6.5</v>
      </c>
      <c r="CF6" s="444">
        <f t="shared" si="4"/>
        <v>7.5</v>
      </c>
      <c r="CG6" s="444">
        <f t="shared" si="4"/>
        <v>8.5</v>
      </c>
      <c r="CH6" s="444">
        <f t="shared" si="4"/>
        <v>9.5</v>
      </c>
      <c r="CI6" s="444">
        <f t="shared" si="4"/>
        <v>10.5</v>
      </c>
    </row>
    <row r="7" spans="1:87">
      <c r="A7" s="85" t="s">
        <v>13</v>
      </c>
      <c r="B7" s="191">
        <f t="shared" ref="B7:Q7" ca="1" si="5">SUM(B10:B50)</f>
        <v>4939.3814509244821</v>
      </c>
      <c r="C7" s="191">
        <f t="shared" ca="1" si="5"/>
        <v>47281.531513781636</v>
      </c>
      <c r="D7" s="191">
        <f ca="1">SUM(D10:D50)</f>
        <v>0</v>
      </c>
      <c r="E7" s="191">
        <f t="shared" ca="1" si="5"/>
        <v>52220.912964706127</v>
      </c>
      <c r="F7" s="191">
        <f t="shared" ca="1" si="5"/>
        <v>449.22838039156284</v>
      </c>
      <c r="G7" s="191">
        <f t="shared" ca="1" si="5"/>
        <v>0</v>
      </c>
      <c r="H7" s="191">
        <f t="shared" ca="1" si="5"/>
        <v>7634.2299954532573</v>
      </c>
      <c r="I7" s="191">
        <f t="shared" ca="1" si="5"/>
        <v>529.6306607920867</v>
      </c>
      <c r="J7" s="191">
        <f t="shared" ca="1" si="5"/>
        <v>9345.785873417195</v>
      </c>
      <c r="K7" s="191">
        <f t="shared" ca="1" si="5"/>
        <v>17958.874910054095</v>
      </c>
      <c r="L7" s="191">
        <f t="shared" ca="1" si="5"/>
        <v>34262.038054652025</v>
      </c>
      <c r="M7" s="191">
        <f t="shared" ca="1" si="5"/>
        <v>10322.711033597319</v>
      </c>
      <c r="N7" s="191">
        <f t="shared" ca="1" si="5"/>
        <v>3384.235936311456</v>
      </c>
      <c r="O7" s="191">
        <f t="shared" ca="1" si="5"/>
        <v>3664.101572523241</v>
      </c>
      <c r="P7" s="191">
        <f t="shared" ca="1" si="5"/>
        <v>17371.04854243201</v>
      </c>
      <c r="Q7" s="191">
        <f t="shared" ca="1" si="5"/>
        <v>16890.989512220011</v>
      </c>
      <c r="R7" s="122"/>
      <c r="S7" s="122"/>
      <c r="T7" s="402"/>
      <c r="U7" s="402"/>
      <c r="V7" s="402"/>
      <c r="W7" s="402"/>
      <c r="X7" s="402"/>
      <c r="Y7" s="402"/>
      <c r="Z7" s="1"/>
      <c r="AA7" s="1"/>
      <c r="AB7" s="1"/>
      <c r="AC7" s="440"/>
      <c r="AD7" s="482">
        <f>SUM(AD10:AD50)</f>
        <v>14.958808080000072</v>
      </c>
      <c r="AE7" s="482">
        <f ca="1">SUM(AE10:AE50)</f>
        <v>8083.4583758448189</v>
      </c>
      <c r="AF7" s="482"/>
      <c r="AG7" s="446" t="s">
        <v>416</v>
      </c>
      <c r="AH7" s="446">
        <f ca="1">$AL$1/(1+AH6)^IF(Input!$I$14&gt;Input!$B$12,$AJ$1/2,($AH$1-(DATE($AH$2,1,1)-Input!$B$12)/2)/$AI$1)</f>
        <v>0.95346258924559224</v>
      </c>
      <c r="AI7" s="446">
        <f ca="1">$AL$1/(1+AI6)^IF(Input!$I$14&gt;Input!$B$12,$AJ$1/2,($AH$1-(DATE($AH$2,1,1)-Input!$B$12)/2)/$AI$1)</f>
        <v>9.9999999999999947</v>
      </c>
      <c r="AJ7" s="446">
        <f ca="1">$AL$1/(1+AJ6)^IF(Input!$I$14&gt;Input!$B$12,$AJ$1/2,($AH$1-(DATE($AH$2,1,1)-Input!$B$12)/2)/$AI$1)</f>
        <v>3.16227766016838</v>
      </c>
      <c r="AK7" s="446">
        <f ca="1">$AL$1/(1+AK6)^IF(Input!$I$14&gt;Input!$B$12,$AJ$1/2,($AH$1-(DATE($AH$2,1,1)-Input!$B$12)/2)/$AI$1)</f>
        <v>2.2360679774997902</v>
      </c>
      <c r="AL7" s="446">
        <f ca="1">$AL$1/(1+AL6)^IF(Input!$I$14&gt;Input!$B$12,$AJ$1/2,($AH$1-(DATE($AH$2,1,1)-Input!$B$12)/2)/$AI$1)</f>
        <v>1.8257418583505538</v>
      </c>
      <c r="AM7" s="446">
        <f ca="1">$AL$1/(1+AM6)^IF(Input!$I$14&gt;Input!$B$12,$AJ$1/2,($AH$1-(DATE($AH$2,1,1)-Input!$B$12)/2)/$AI$1)</f>
        <v>1.58113883008419</v>
      </c>
      <c r="AN7" s="446">
        <f ca="1">$AL$1/(1+AN6)^IF(Input!$I$14&gt;Input!$B$12,$AJ$1/2,($AH$1-(DATE($AH$2,1,1)-Input!$B$12)/2)/$AI$1)</f>
        <v>1.4142135623730951</v>
      </c>
      <c r="AO7" s="446">
        <f ca="1">$AL$1/(1+AO6)^IF(Input!$I$14&gt;Input!$B$12,$AJ$1/2,($AH$1-(DATE($AH$2,1,1)-Input!$B$12)/2)/$AI$1)</f>
        <v>1.2909944487358058</v>
      </c>
      <c r="AP7" s="446">
        <f ca="1">$AL$1/(1+AP6)^IF(Input!$I$14&gt;Input!$B$12,$AJ$1/2,($AH$1-(DATE($AH$2,1,1)-Input!$B$12)/2)/$AI$1)</f>
        <v>1.1952286093343938</v>
      </c>
      <c r="AQ7" s="446">
        <f ca="1">$AL$1/(1+AQ6)^IF(Input!$I$14&gt;Input!$B$12,$AJ$1/2,($AH$1-(DATE($AH$2,1,1)-Input!$B$12)/2)/$AI$1)</f>
        <v>1.1180339887498951</v>
      </c>
      <c r="AR7" s="446">
        <f ca="1">$AL$1/(1+AR6)^IF(Input!$I$14&gt;Input!$B$12,$AJ$1/2,($AH$1-(DATE($AH$2,1,1)-Input!$B$12)/2)/$AI$1)</f>
        <v>1.0540925533894598</v>
      </c>
      <c r="AS7" s="446">
        <f ca="1">$AL$1/(1+AS6)^IF(Input!$I$14&gt;Input!$B$12,$AJ$1/2,($AH$1-(DATE($AH$2,1,1)-Input!$B$12)/2)/$AI$1)</f>
        <v>1</v>
      </c>
      <c r="AT7" s="446">
        <f ca="1">$AL$1/(1+AT6)^IF(Input!$I$14&gt;Input!$B$12,$AJ$1/2,($AH$1-(DATE($AH$2,1,1)-Input!$B$12)/2)/$AI$1)</f>
        <v>0.99503719020998926</v>
      </c>
      <c r="AU7" s="446">
        <f ca="1">$AL$1/(1+AU6)^IF(Input!$I$14&gt;Input!$B$12,$AJ$1/2,($AH$1-(DATE($AH$2,1,1)-Input!$B$12)/2)/$AI$1)</f>
        <v>0.99014754297667451</v>
      </c>
      <c r="AV7" s="446">
        <f ca="1">$AL$1/(1+AV6)^IF(Input!$I$14&gt;Input!$B$12,$AJ$1/2,($AH$1-(DATE($AH$2,1,1)-Input!$B$12)/2)/$AI$1)</f>
        <v>0.98532927816429317</v>
      </c>
      <c r="AW7" s="446">
        <f ca="1">$AL$1/(1+AW6)^IF(Input!$I$14&gt;Input!$B$12,$AJ$1/2,($AH$1-(DATE($AH$2,1,1)-Input!$B$12)/2)/$AI$1)</f>
        <v>0.98058067569092033</v>
      </c>
      <c r="AX7" s="446">
        <f ca="1">$AL$1/(1+AX6)^IF(Input!$I$14&gt;Input!$B$12,$AJ$1/2,($AH$1-(DATE($AH$2,1,1)-Input!$B$12)/2)/$AI$1)</f>
        <v>0.97590007294853331</v>
      </c>
      <c r="AY7" s="446">
        <f ca="1">$AL$1/(1+AY6)^IF(Input!$I$14&gt;Input!$B$12,$AJ$1/2,($AH$1-(DATE($AH$2,1,1)-Input!$B$12)/2)/$AI$1)</f>
        <v>0.97128586235726422</v>
      </c>
      <c r="AZ7" s="446">
        <f ca="1">$AL$1/(1+AZ6)^IF(Input!$I$14&gt;Input!$B$12,$AJ$1/2,($AH$1-(DATE($AH$2,1,1)-Input!$B$12)/2)/$AI$1)</f>
        <v>0.96673648904566356</v>
      </c>
      <c r="BA7" s="446">
        <f ca="1">$AL$1/(1+BA6)^IF(Input!$I$14&gt;Input!$B$12,$AJ$1/2,($AH$1-(DATE($AH$2,1,1)-Input!$B$12)/2)/$AI$1)</f>
        <v>0.96225044864937637</v>
      </c>
      <c r="BB7" s="446">
        <f ca="1">$AL$1/(1+BB6)^IF(Input!$I$14&gt;Input!$B$12,$AJ$1/2,($AH$1-(DATE($AH$2,1,1)-Input!$B$12)/2)/$AI$1)</f>
        <v>0.95782628522115154</v>
      </c>
      <c r="BC7" s="446">
        <f ca="1">$AL$1/(1+BC6)^IF(Input!$I$14&gt;Input!$B$12,$AJ$1/2,($AH$1-(DATE($AH$2,1,1)-Input!$B$12)/2)/$AI$1)</f>
        <v>0.95346258924559246</v>
      </c>
      <c r="BD7" s="446">
        <f ca="1">$AL$1/(1+BD6)^IF(Input!$I$14&gt;Input!$B$12,$AJ$1/2,($AH$1-(DATE($AH$2,1,1)-Input!$B$12)/2)/$AI$1)</f>
        <v>0.93250480824031379</v>
      </c>
      <c r="BE7" s="446">
        <f ca="1">$AL$1/(1+BE6)^IF(Input!$I$14&gt;Input!$B$12,$AJ$1/2,($AH$1-(DATE($AH$2,1,1)-Input!$B$12)/2)/$AI$1)</f>
        <v>0.9128709291752769</v>
      </c>
      <c r="BF7" s="446">
        <f ca="1">$AL$1/(1+BF6)^IF(Input!$I$14&gt;Input!$B$12,$AJ$1/2,($AH$1-(DATE($AH$2,1,1)-Input!$B$12)/2)/$AI$1)</f>
        <v>0.89442719099991597</v>
      </c>
      <c r="BG7" s="446">
        <f ca="1">$AL$1/(1+BG6)^IF(Input!$I$14&gt;Input!$B$12,$AJ$1/2,($AH$1-(DATE($AH$2,1,1)-Input!$B$12)/2)/$AI$1)</f>
        <v>0.87705801930702931</v>
      </c>
      <c r="BH7" s="446">
        <f ca="1">$AL$1/(1+BH6)^IF(Input!$I$14&gt;Input!$B$12,$AJ$1/2,($AH$1-(DATE($AH$2,1,1)-Input!$B$12)/2)/$AI$1)</f>
        <v>0.86066296582387036</v>
      </c>
      <c r="BI7" s="446">
        <f ca="1">$AL$1/(1+BI6)^IF(Input!$I$14&gt;Input!$B$12,$AJ$1/2,($AH$1-(DATE($AH$2,1,1)-Input!$B$12)/2)/$AI$1)</f>
        <v>0.84515425472851657</v>
      </c>
      <c r="BJ7" s="446">
        <f ca="1">$AL$1/(1+BJ6)^IF(Input!$I$14&gt;Input!$B$12,$AJ$1/2,($AH$1-(DATE($AH$2,1,1)-Input!$B$12)/2)/$AI$1)</f>
        <v>0.81649658092772615</v>
      </c>
      <c r="BK7" s="446">
        <f ca="1">$AL$1/(1+BK6)^IF(Input!$I$14&gt;Input!$B$12,$AJ$1/2,($AH$1-(DATE($AH$2,1,1)-Input!$B$12)/2)/$AI$1)</f>
        <v>0.79056941504209499</v>
      </c>
      <c r="BL7" s="446">
        <f ca="1">$AL$1/(1+BL6)^IF(Input!$I$14&gt;Input!$B$12,$AJ$1/2,($AH$1-(DATE($AH$2,1,1)-Input!$B$12)/2)/$AI$1)</f>
        <v>0.76696498884737041</v>
      </c>
      <c r="BM7" s="446">
        <f ca="1">$AL$1/(1+BM6)^IF(Input!$I$14&gt;Input!$B$12,$AJ$1/2,($AH$1-(DATE($AH$2,1,1)-Input!$B$12)/2)/$AI$1)</f>
        <v>0.7453559924999299</v>
      </c>
      <c r="BN7" s="446">
        <f ca="1">$AL$1/(1+BN6)^IF(Input!$I$14&gt;Input!$B$12,$AJ$1/2,($AH$1-(DATE($AH$2,1,1)-Input!$B$12)/2)/$AI$1)</f>
        <v>0.72547625011001171</v>
      </c>
      <c r="BO7" s="446">
        <f ca="1">$AL$1/(1+BO6)^IF(Input!$I$14&gt;Input!$B$12,$AJ$1/2,($AH$1-(DATE($AH$2,1,1)-Input!$B$12)/2)/$AI$1)</f>
        <v>0.70710678118654757</v>
      </c>
      <c r="BP7" s="446">
        <f ca="1">$AL$1/(1+BP6)^IF(Input!$I$14&gt;Input!$B$12,$AJ$1/2,($AH$1-(DATE($AH$2,1,1)-Input!$B$12)/2)/$AI$1)</f>
        <v>0.69006555934235425</v>
      </c>
      <c r="BQ7" s="446">
        <f ca="1">$AL$1/(1+BQ6)^IF(Input!$I$14&gt;Input!$B$12,$AJ$1/2,($AH$1-(DATE($AH$2,1,1)-Input!$B$12)/2)/$AI$1)</f>
        <v>0.67419986246324215</v>
      </c>
      <c r="BR7" s="446">
        <f ca="1">$AL$1/(1+BR6)^IF(Input!$I$14&gt;Input!$B$12,$AJ$1/2,($AH$1-(DATE($AH$2,1,1)-Input!$B$12)/2)/$AI$1)</f>
        <v>0.65938047339578709</v>
      </c>
      <c r="BS7" s="446">
        <f ca="1">$AL$1/(1+BS6)^IF(Input!$I$14&gt;Input!$B$12,$AJ$1/2,($AH$1-(DATE($AH$2,1,1)-Input!$B$12)/2)/$AI$1)</f>
        <v>0.6454972243679028</v>
      </c>
      <c r="BT7" s="446">
        <f ca="1">$AL$1/(1+BT6)^IF(Input!$I$14&gt;Input!$B$12,$AJ$1/2,($AH$1-(DATE($AH$2,1,1)-Input!$B$12)/2)/$AI$1)</f>
        <v>0.63245553203367588</v>
      </c>
      <c r="BU7" s="446">
        <f ca="1">$AL$1/(1+BU6)^IF(Input!$I$14&gt;Input!$B$12,$AJ$1/2,($AH$1-(DATE($AH$2,1,1)-Input!$B$12)/2)/$AI$1)</f>
        <v>0.6201736729460422</v>
      </c>
      <c r="BV7" s="446">
        <f ca="1">$AL$1/(1+BV6)^IF(Input!$I$14&gt;Input!$B$12,$AJ$1/2,($AH$1-(DATE($AH$2,1,1)-Input!$B$12)/2)/$AI$1)</f>
        <v>0.60858061945018449</v>
      </c>
      <c r="BW7" s="446">
        <f ca="1">$AL$1/(1+BW6)^IF(Input!$I$14&gt;Input!$B$12,$AJ$1/2,($AH$1-(DATE($AH$2,1,1)-Input!$B$12)/2)/$AI$1)</f>
        <v>0.59761430466719678</v>
      </c>
      <c r="BX7" s="446">
        <f ca="1">$AL$1/(1+BX6)^IF(Input!$I$14&gt;Input!$B$12,$AJ$1/2,($AH$1-(DATE($AH$2,1,1)-Input!$B$12)/2)/$AI$1)</f>
        <v>0.58722021951470349</v>
      </c>
      <c r="BY7" s="446">
        <f ca="1">$AL$1/(1+BY6)^IF(Input!$I$14&gt;Input!$B$12,$AJ$1/2,($AH$1-(DATE($AH$2,1,1)-Input!$B$12)/2)/$AI$1)</f>
        <v>0.57735026918962573</v>
      </c>
      <c r="BZ7" s="446">
        <f ca="1">$AL$1/(1+BZ6)^IF(Input!$I$14&gt;Input!$B$12,$AJ$1/2,($AH$1-(DATE($AH$2,1,1)-Input!$B$12)/2)/$AI$1)</f>
        <v>0.53452248382484868</v>
      </c>
      <c r="CA7" s="446">
        <f ca="1">$AL$1/(1+CA6)^IF(Input!$I$14&gt;Input!$B$12,$AJ$1/2,($AH$1-(DATE($AH$2,1,1)-Input!$B$12)/2)/$AI$1)</f>
        <v>0.5</v>
      </c>
      <c r="CB7" s="446">
        <f ca="1">$AL$1/(1+CB6)^IF(Input!$I$14&gt;Input!$B$12,$AJ$1/2,($AH$1-(DATE($AH$2,1,1)-Input!$B$12)/2)/$AI$1)</f>
        <v>0.47140452079103173</v>
      </c>
      <c r="CC7" s="446">
        <f ca="1">$AL$1/(1+CC6)^IF(Input!$I$14&gt;Input!$B$12,$AJ$1/2,($AH$1-(DATE($AH$2,1,1)-Input!$B$12)/2)/$AI$1)</f>
        <v>0.42640143271122083</v>
      </c>
      <c r="CD7" s="446">
        <f ca="1">$AL$1/(1+CD6)^IF(Input!$I$14&gt;Input!$B$12,$AJ$1/2,($AH$1-(DATE($AH$2,1,1)-Input!$B$12)/2)/$AI$1)</f>
        <v>0.39223227027636809</v>
      </c>
      <c r="CE7" s="446">
        <f ca="1">$AL$1/(1+CE6)^IF(Input!$I$14&gt;Input!$B$12,$AJ$1/2,($AH$1-(DATE($AH$2,1,1)-Input!$B$12)/2)/$AI$1)</f>
        <v>0.36514837167011072</v>
      </c>
      <c r="CF7" s="446">
        <f ca="1">$AL$1/(1+CF6)^IF(Input!$I$14&gt;Input!$B$12,$AJ$1/2,($AH$1-(DATE($AH$2,1,1)-Input!$B$12)/2)/$AI$1)</f>
        <v>0.34299717028501764</v>
      </c>
      <c r="CG7" s="446">
        <f ca="1">$AL$1/(1+CG6)^IF(Input!$I$14&gt;Input!$B$12,$AJ$1/2,($AH$1-(DATE($AH$2,1,1)-Input!$B$12)/2)/$AI$1)</f>
        <v>0.32444284226152509</v>
      </c>
      <c r="CH7" s="446">
        <f ca="1">$AL$1/(1+CH6)^IF(Input!$I$14&gt;Input!$B$12,$AJ$1/2,($AH$1-(DATE($AH$2,1,1)-Input!$B$12)/2)/$AI$1)</f>
        <v>0.30860669992418382</v>
      </c>
      <c r="CI7" s="446">
        <f ca="1">$AL$1/(1+CI6)^IF(Input!$I$14&gt;Input!$B$12,$AJ$1/2,($AH$1-(DATE($AH$2,1,1)-Input!$B$12)/2)/$AI$1)</f>
        <v>0.29488391230979427</v>
      </c>
    </row>
    <row r="8" spans="1:87">
      <c r="A8" s="106"/>
      <c r="B8" s="196">
        <f ca="1">SUMPRODUCT(B10:B50,$AH$10:$AH$50)</f>
        <v>1671.5189173005642</v>
      </c>
      <c r="C8" s="196"/>
      <c r="D8" s="196"/>
      <c r="E8" s="196"/>
      <c r="F8" s="196"/>
      <c r="G8" s="196"/>
      <c r="H8" s="196"/>
      <c r="I8" s="196"/>
      <c r="J8" s="196"/>
      <c r="K8" s="196"/>
      <c r="L8" s="196"/>
      <c r="M8" s="196"/>
      <c r="N8" s="196"/>
      <c r="O8" s="196"/>
      <c r="P8" s="196"/>
      <c r="Q8" s="196"/>
      <c r="R8" s="122"/>
      <c r="S8" s="122"/>
      <c r="T8" s="402"/>
      <c r="U8" s="402"/>
      <c r="V8" s="402"/>
      <c r="W8" s="402"/>
      <c r="X8" s="402"/>
      <c r="Y8" s="402"/>
      <c r="Z8" s="403"/>
      <c r="AA8" s="403"/>
      <c r="AB8" s="403"/>
      <c r="AC8" s="441"/>
      <c r="AD8" s="482">
        <f ca="1">SUMPRODUCT(AD10:AD50,$AH$10:$AH$50)</f>
        <v>0</v>
      </c>
      <c r="AE8" s="482">
        <f ca="1">SUMPRODUCT(AE10:AE50,$AH$10:$AH$50)</f>
        <v>5047.544778582529</v>
      </c>
      <c r="AF8" s="402"/>
      <c r="AG8" s="446"/>
      <c r="AH8" s="446"/>
      <c r="AI8" s="446"/>
      <c r="AJ8" s="446">
        <f t="shared" ref="AJ8:CI8" ca="1" si="6">SUMPRODUCT(AJ10:AJ49,$Q$10:$Q$49)</f>
        <v>-1.1768147242884763E+32</v>
      </c>
      <c r="AK8" s="446">
        <f t="shared" ca="1" si="6"/>
        <v>-1.5331960717858769E+23</v>
      </c>
      <c r="AL8" s="446">
        <f t="shared" ca="1" si="6"/>
        <v>-9.5973784773574733E+17</v>
      </c>
      <c r="AM8" s="446">
        <f t="shared" ca="1" si="6"/>
        <v>-190442388103053.13</v>
      </c>
      <c r="AN8" s="446">
        <f t="shared" ca="1" si="6"/>
        <v>-243272941407.2684</v>
      </c>
      <c r="AO8" s="446">
        <f t="shared" ca="1" si="6"/>
        <v>-915481657.14578605</v>
      </c>
      <c r="AP8" s="446">
        <f t="shared" ca="1" si="6"/>
        <v>-3729229.3849903047</v>
      </c>
      <c r="AQ8" s="446">
        <f t="shared" ca="1" si="6"/>
        <v>353395.53000875824</v>
      </c>
      <c r="AR8" s="446">
        <f t="shared" ca="1" si="6"/>
        <v>73177.420584775609</v>
      </c>
      <c r="AS8" s="446">
        <f t="shared" ca="1" si="6"/>
        <v>17118.815981922511</v>
      </c>
      <c r="AT8" s="446">
        <f t="shared" ca="1" si="6"/>
        <v>14954.572080997692</v>
      </c>
      <c r="AU8" s="446">
        <f t="shared" ca="1" si="6"/>
        <v>13080.427500437338</v>
      </c>
      <c r="AV8" s="446">
        <f t="shared" ca="1" si="6"/>
        <v>11453.410780573458</v>
      </c>
      <c r="AW8" s="446">
        <f t="shared" ca="1" si="6"/>
        <v>10037.486954267444</v>
      </c>
      <c r="AX8" s="446">
        <f t="shared" ca="1" si="6"/>
        <v>8802.3663985381627</v>
      </c>
      <c r="AY8" s="446">
        <f t="shared" ca="1" si="6"/>
        <v>7722.5254590387494</v>
      </c>
      <c r="AZ8" s="446">
        <f t="shared" ca="1" si="6"/>
        <v>6776.4011361630937</v>
      </c>
      <c r="BA8" s="446">
        <f t="shared" ca="1" si="6"/>
        <v>5945.7284981728726</v>
      </c>
      <c r="BB8" s="446">
        <f t="shared" ca="1" si="6"/>
        <v>5214.9949671403283</v>
      </c>
      <c r="BC8" s="446">
        <f t="shared" ca="1" si="6"/>
        <v>4570.9902501043061</v>
      </c>
      <c r="BD8" s="446">
        <f t="shared" ca="1" si="6"/>
        <v>2308.8388093284038</v>
      </c>
      <c r="BE8" s="446">
        <f t="shared" ca="1" si="6"/>
        <v>1055.0435128156921</v>
      </c>
      <c r="BF8" s="446">
        <f t="shared" ca="1" si="6"/>
        <v>344.25178184598144</v>
      </c>
      <c r="BG8" s="446">
        <f t="shared" ca="1" si="6"/>
        <v>-62.207742828484498</v>
      </c>
      <c r="BH8" s="446">
        <f t="shared" ca="1" si="6"/>
        <v>-292.83170563614141</v>
      </c>
      <c r="BI8" s="446">
        <f t="shared" ca="1" si="6"/>
        <v>-419.61841764776591</v>
      </c>
      <c r="BJ8" s="446">
        <f t="shared" ca="1" si="6"/>
        <v>-511.40972022127539</v>
      </c>
      <c r="BK8" s="446">
        <f t="shared" ca="1" si="6"/>
        <v>-507.60350669386736</v>
      </c>
      <c r="BL8" s="446">
        <f t="shared" ca="1" si="6"/>
        <v>-471.4925311890027</v>
      </c>
      <c r="BM8" s="446">
        <f t="shared" ca="1" si="6"/>
        <v>-427.47368350204283</v>
      </c>
      <c r="BN8" s="446">
        <f t="shared" ca="1" si="6"/>
        <v>-384.80709925284839</v>
      </c>
      <c r="BO8" s="446">
        <f t="shared" ca="1" si="6"/>
        <v>-346.64767076234693</v>
      </c>
      <c r="BP8" s="446">
        <f t="shared" ca="1" si="6"/>
        <v>-313.67734177851486</v>
      </c>
      <c r="BQ8" s="446">
        <f t="shared" ca="1" si="6"/>
        <v>-285.61806648278008</v>
      </c>
      <c r="BR8" s="446">
        <f t="shared" ca="1" si="6"/>
        <v>-261.87055185246567</v>
      </c>
      <c r="BS8" s="446">
        <f t="shared" ca="1" si="6"/>
        <v>-241.78002258663329</v>
      </c>
      <c r="BT8" s="446">
        <f t="shared" ca="1" si="6"/>
        <v>-224.73996032725546</v>
      </c>
      <c r="BU8" s="446">
        <f t="shared" ca="1" si="6"/>
        <v>-210.22550229522562</v>
      </c>
      <c r="BV8" s="446">
        <f t="shared" ca="1" si="6"/>
        <v>-197.79716513197764</v>
      </c>
      <c r="BW8" s="446">
        <f t="shared" ca="1" si="6"/>
        <v>-187.09305608679801</v>
      </c>
      <c r="BX8" s="446">
        <f t="shared" ca="1" si="6"/>
        <v>-177.81759401608898</v>
      </c>
      <c r="BY8" s="446">
        <f t="shared" ca="1" si="6"/>
        <v>-169.73014228501276</v>
      </c>
      <c r="BZ8" s="446">
        <f t="shared" ca="1" si="6"/>
        <v>-141.38678799986096</v>
      </c>
      <c r="CA8" s="446">
        <f t="shared" ca="1" si="6"/>
        <v>-124.53197043648017</v>
      </c>
      <c r="CB8" s="446">
        <f t="shared" ca="1" si="6"/>
        <v>-113.28393393715747</v>
      </c>
      <c r="CC8" s="446">
        <f t="shared" ca="1" si="6"/>
        <v>-98.770293793875439</v>
      </c>
      <c r="CD8" s="446">
        <f t="shared" ca="1" si="6"/>
        <v>-89.352933567636612</v>
      </c>
      <c r="CE8" s="446">
        <f t="shared" ca="1" si="6"/>
        <v>-82.466266999852095</v>
      </c>
      <c r="CF8" s="446">
        <f t="shared" ca="1" si="6"/>
        <v>-77.078138110250492</v>
      </c>
      <c r="CG8" s="446">
        <f t="shared" ca="1" si="6"/>
        <v>-72.681354075544462</v>
      </c>
      <c r="CH8" s="446">
        <f t="shared" ca="1" si="6"/>
        <v>-68.989645078644813</v>
      </c>
      <c r="CI8" s="446">
        <f t="shared" ca="1" si="6"/>
        <v>-65.825008449258192</v>
      </c>
    </row>
    <row r="9" spans="1:87">
      <c r="A9" s="64"/>
      <c r="B9" s="196"/>
      <c r="C9" s="196"/>
      <c r="D9" s="196"/>
      <c r="E9" s="196"/>
      <c r="F9" s="196"/>
      <c r="G9" s="196"/>
      <c r="H9" s="196"/>
      <c r="I9" s="196"/>
      <c r="J9" s="196"/>
      <c r="K9" s="196">
        <f>SUM(F8:J8)</f>
        <v>0</v>
      </c>
      <c r="L9" s="196">
        <f>E8-K9</f>
        <v>0</v>
      </c>
      <c r="M9" s="196"/>
      <c r="N9" s="196"/>
      <c r="O9" s="196"/>
      <c r="P9" s="196"/>
      <c r="Q9" s="196">
        <f>L9-P8</f>
        <v>0</v>
      </c>
      <c r="R9" s="121"/>
      <c r="S9" s="121"/>
      <c r="T9" s="403"/>
      <c r="U9" s="403"/>
      <c r="V9" s="403"/>
      <c r="W9" s="403"/>
      <c r="X9" s="403"/>
      <c r="Y9" s="403"/>
      <c r="Z9" s="403"/>
      <c r="AA9" s="403"/>
      <c r="AB9" s="403"/>
      <c r="AC9" s="441"/>
      <c r="AD9" s="403"/>
      <c r="AE9" s="403"/>
      <c r="AF9" s="403"/>
      <c r="AG9" s="446"/>
      <c r="AH9" s="446">
        <v>10000000000</v>
      </c>
      <c r="AI9" s="446">
        <f>IF(AH9&lt;10000000000,AH9,IF(AND(AI8&lt;0,AH8&gt;0),AH6+AH8/(AH8-AI8)*(AI6-AH6),10000000000))</f>
        <v>10000000000</v>
      </c>
      <c r="AJ9" s="446">
        <f t="shared" ref="AJ9:CI9" ca="1" si="7">IF(AI9&lt;10000000000,AI9,IF(AND(AJ8&lt;0,AI8&gt;0),AI6+AI8/(AI8-AJ8)*(AJ6-AI6),10000000000))</f>
        <v>10000000000</v>
      </c>
      <c r="AK9" s="446">
        <f t="shared" ca="1" si="7"/>
        <v>10000000000</v>
      </c>
      <c r="AL9" s="446">
        <f t="shared" ca="1" si="7"/>
        <v>10000000000</v>
      </c>
      <c r="AM9" s="446">
        <f t="shared" ca="1" si="7"/>
        <v>10000000000</v>
      </c>
      <c r="AN9" s="446">
        <f t="shared" ca="1" si="7"/>
        <v>10000000000</v>
      </c>
      <c r="AO9" s="446">
        <f t="shared" ca="1" si="7"/>
        <v>10000000000</v>
      </c>
      <c r="AP9" s="446">
        <f t="shared" ca="1" si="7"/>
        <v>10000000000</v>
      </c>
      <c r="AQ9" s="446">
        <f t="shared" ca="1" si="7"/>
        <v>10000000000</v>
      </c>
      <c r="AR9" s="446">
        <f t="shared" ca="1" si="7"/>
        <v>10000000000</v>
      </c>
      <c r="AS9" s="446">
        <f t="shared" ca="1" si="7"/>
        <v>10000000000</v>
      </c>
      <c r="AT9" s="446">
        <f t="shared" ca="1" si="7"/>
        <v>10000000000</v>
      </c>
      <c r="AU9" s="446">
        <f t="shared" ca="1" si="7"/>
        <v>10000000000</v>
      </c>
      <c r="AV9" s="446">
        <f t="shared" ca="1" si="7"/>
        <v>10000000000</v>
      </c>
      <c r="AW9" s="446">
        <f t="shared" ca="1" si="7"/>
        <v>10000000000</v>
      </c>
      <c r="AX9" s="446">
        <f t="shared" ca="1" si="7"/>
        <v>10000000000</v>
      </c>
      <c r="AY9" s="446">
        <f t="shared" ca="1" si="7"/>
        <v>10000000000</v>
      </c>
      <c r="AZ9" s="446">
        <f t="shared" ca="1" si="7"/>
        <v>10000000000</v>
      </c>
      <c r="BA9" s="446">
        <f t="shared" ca="1" si="7"/>
        <v>10000000000</v>
      </c>
      <c r="BB9" s="446">
        <f t="shared" ca="1" si="7"/>
        <v>10000000000</v>
      </c>
      <c r="BC9" s="446">
        <f t="shared" ca="1" si="7"/>
        <v>10000000000</v>
      </c>
      <c r="BD9" s="446">
        <f t="shared" ca="1" si="7"/>
        <v>10000000000</v>
      </c>
      <c r="BE9" s="446">
        <f t="shared" ca="1" si="7"/>
        <v>10000000000</v>
      </c>
      <c r="BF9" s="446">
        <f t="shared" ca="1" si="7"/>
        <v>10000000000</v>
      </c>
      <c r="BG9" s="446">
        <f t="shared" ca="1" si="7"/>
        <v>0.29234760916498287</v>
      </c>
      <c r="BH9" s="446">
        <f t="shared" ca="1" si="7"/>
        <v>0.29234760916498287</v>
      </c>
      <c r="BI9" s="446">
        <f t="shared" ca="1" si="7"/>
        <v>0.29234760916498287</v>
      </c>
      <c r="BJ9" s="446">
        <f t="shared" ca="1" si="7"/>
        <v>0.29234760916498287</v>
      </c>
      <c r="BK9" s="446">
        <f t="shared" ca="1" si="7"/>
        <v>0.29234760916498287</v>
      </c>
      <c r="BL9" s="446">
        <f t="shared" ca="1" si="7"/>
        <v>0.29234760916498287</v>
      </c>
      <c r="BM9" s="446">
        <f t="shared" ca="1" si="7"/>
        <v>0.29234760916498287</v>
      </c>
      <c r="BN9" s="446">
        <f t="shared" ca="1" si="7"/>
        <v>0.29234760916498287</v>
      </c>
      <c r="BO9" s="446">
        <f t="shared" ca="1" si="7"/>
        <v>0.29234760916498287</v>
      </c>
      <c r="BP9" s="446">
        <f t="shared" ca="1" si="7"/>
        <v>0.29234760916498287</v>
      </c>
      <c r="BQ9" s="446">
        <f t="shared" ca="1" si="7"/>
        <v>0.29234760916498287</v>
      </c>
      <c r="BR9" s="446">
        <f t="shared" ca="1" si="7"/>
        <v>0.29234760916498287</v>
      </c>
      <c r="BS9" s="446">
        <f t="shared" ca="1" si="7"/>
        <v>0.29234760916498287</v>
      </c>
      <c r="BT9" s="446">
        <f t="shared" ca="1" si="7"/>
        <v>0.29234760916498287</v>
      </c>
      <c r="BU9" s="446">
        <f t="shared" ca="1" si="7"/>
        <v>0.29234760916498287</v>
      </c>
      <c r="BV9" s="446">
        <f t="shared" ca="1" si="7"/>
        <v>0.29234760916498287</v>
      </c>
      <c r="BW9" s="446">
        <f t="shared" ca="1" si="7"/>
        <v>0.29234760916498287</v>
      </c>
      <c r="BX9" s="446">
        <f t="shared" ca="1" si="7"/>
        <v>0.29234760916498287</v>
      </c>
      <c r="BY9" s="446">
        <f t="shared" ca="1" si="7"/>
        <v>0.29234760916498287</v>
      </c>
      <c r="BZ9" s="446">
        <f t="shared" ca="1" si="7"/>
        <v>0.29234760916498287</v>
      </c>
      <c r="CA9" s="446">
        <f t="shared" ca="1" si="7"/>
        <v>0.29234760916498287</v>
      </c>
      <c r="CB9" s="446">
        <f t="shared" ca="1" si="7"/>
        <v>0.29234760916498287</v>
      </c>
      <c r="CC9" s="446">
        <f t="shared" ca="1" si="7"/>
        <v>0.29234760916498287</v>
      </c>
      <c r="CD9" s="446">
        <f t="shared" ca="1" si="7"/>
        <v>0.29234760916498287</v>
      </c>
      <c r="CE9" s="446">
        <f t="shared" ca="1" si="7"/>
        <v>0.29234760916498287</v>
      </c>
      <c r="CF9" s="446">
        <f t="shared" ca="1" si="7"/>
        <v>0.29234760916498287</v>
      </c>
      <c r="CG9" s="446">
        <f t="shared" ca="1" si="7"/>
        <v>0.29234760916498287</v>
      </c>
      <c r="CH9" s="446">
        <f t="shared" ca="1" si="7"/>
        <v>0.29234760916498287</v>
      </c>
      <c r="CI9" s="446">
        <f t="shared" ca="1" si="7"/>
        <v>0.29234760916498287</v>
      </c>
    </row>
    <row r="10" spans="1:87">
      <c r="A10" s="106">
        <f>'Success Cash Flow'!A10</f>
        <v>2023</v>
      </c>
      <c r="B10" s="194">
        <f ca="1">Revenue!S11*'Selected Economics'!$H11</f>
        <v>0</v>
      </c>
      <c r="C10" s="194">
        <f ca="1">Revenue!T11*'Selected Economics'!$H11</f>
        <v>0</v>
      </c>
      <c r="D10" s="194">
        <f ca="1">Revenue!U11*'Selected Economics'!$H11</f>
        <v>0</v>
      </c>
      <c r="E10" s="194">
        <f ca="1">SUM(B10:D10)</f>
        <v>0</v>
      </c>
      <c r="F10" s="194">
        <f ca="1">Exploration!X37*'Selected Economics'!$H11</f>
        <v>9.6278000000000006</v>
      </c>
      <c r="G10" s="194">
        <f ca="1">-'Deposit Recovery'!Y16</f>
        <v>0</v>
      </c>
      <c r="H10" s="194">
        <f ca="1">Development!CC92*'Selected Economics'!$H11</f>
        <v>0</v>
      </c>
      <c r="I10" s="194">
        <f ca="1">Abandonment!K16*'Selected Economics'!$H11</f>
        <v>0</v>
      </c>
      <c r="J10" s="194">
        <f ca="1">Operations!P19</f>
        <v>0</v>
      </c>
      <c r="K10" s="194">
        <f t="shared" ref="K10:K49" ca="1" si="8">SUM(F10:J10)</f>
        <v>9.6278000000000006</v>
      </c>
      <c r="L10" s="194">
        <f t="shared" ref="L10:L49" ca="1" si="9">E10-K10</f>
        <v>-9.6278000000000006</v>
      </c>
      <c r="M10" s="194">
        <f ca="1">Royalty!AM12*Development!$BT$89*'Selected Economics'!$H11</f>
        <v>0</v>
      </c>
      <c r="N10" s="194">
        <f ca="1">'Provincial Tax'!X10*Development!$BT$89*'Selected Economics'!$H11</f>
        <v>0</v>
      </c>
      <c r="O10" s="194">
        <f ca="1">'Federal Tax'!X11*Development!$BT$89*'Selected Economics'!$H11</f>
        <v>0</v>
      </c>
      <c r="P10" s="194">
        <f t="shared" ref="P10:P49" ca="1" si="10">SUM(M10:O10)</f>
        <v>0</v>
      </c>
      <c r="Q10" s="194">
        <f t="shared" ref="Q10:Q49" ca="1" si="11">L10-P10</f>
        <v>-9.6278000000000006</v>
      </c>
      <c r="R10" s="122"/>
      <c r="S10" s="122"/>
      <c r="T10" s="402"/>
      <c r="U10" s="402"/>
      <c r="V10" s="402"/>
      <c r="W10" s="402"/>
      <c r="X10" s="402"/>
      <c r="Y10" s="402"/>
      <c r="Z10" s="1"/>
      <c r="AA10" s="1"/>
      <c r="AB10" s="1"/>
      <c r="AC10" s="442"/>
      <c r="AD10" s="482">
        <f>IF(Thresholds!$E$1=Lists!$A$9,Exploration!U37-'Deposit Recovery'!V16,IF(Thresholds!$E$1=Lists!$A$10,Exploration!V37-'Deposit Recovery'!W16,IF(Thresholds!$E$1=Lists!$A$11,Exploration!W37-'Deposit Recovery'!X16,IF(Thresholds!$E$1=Lists!$A$12,Development!AY92,Development!BI92-Development!AY92))))</f>
        <v>9.6278000000000006</v>
      </c>
      <c r="AE10" s="482">
        <f ca="1">F10+H10+G10</f>
        <v>9.6278000000000006</v>
      </c>
      <c r="AF10" s="447">
        <f ca="1">AH10*IF(Input!$B$3="Real",'Selected Economics'!H11,1)</f>
        <v>0</v>
      </c>
      <c r="AG10" s="447">
        <f t="shared" ref="AG10:AG41" ca="1" si="12">IF(OR($A10="",$A10&lt;$AH$2-1),1,IF($A10=$AH$2-1,AH$7,1/(1+AH$6)^($A10-$AH$2+0.5+$AJ$1)))</f>
        <v>1</v>
      </c>
      <c r="AH10" s="447">
        <f t="shared" ref="AH10:AQ19" ca="1" si="13">IF(OR($A10="",$A10&lt;$AH$2-1),0,IF($A10=$AH$2-1,AH$7,1/(1+AH$6)^($A10-$AH$2+0.5+$AJ$1)))</f>
        <v>0</v>
      </c>
      <c r="AI10" s="448">
        <f t="shared" ca="1" si="13"/>
        <v>0</v>
      </c>
      <c r="AJ10" s="448">
        <f t="shared" ca="1" si="13"/>
        <v>0</v>
      </c>
      <c r="AK10" s="448">
        <f t="shared" ca="1" si="13"/>
        <v>0</v>
      </c>
      <c r="AL10" s="448">
        <f t="shared" ca="1" si="13"/>
        <v>0</v>
      </c>
      <c r="AM10" s="448">
        <f t="shared" ca="1" si="13"/>
        <v>0</v>
      </c>
      <c r="AN10" s="448">
        <f t="shared" ca="1" si="13"/>
        <v>0</v>
      </c>
      <c r="AO10" s="448">
        <f t="shared" ca="1" si="13"/>
        <v>0</v>
      </c>
      <c r="AP10" s="448">
        <f t="shared" ca="1" si="13"/>
        <v>0</v>
      </c>
      <c r="AQ10" s="448">
        <f t="shared" ca="1" si="13"/>
        <v>0</v>
      </c>
      <c r="AR10" s="448">
        <f t="shared" ref="AR10:BA19" ca="1" si="14">IF(OR($A10="",$A10&lt;$AH$2-1),0,IF($A10=$AH$2-1,AR$7,1/(1+AR$6)^($A10-$AH$2+0.5+$AJ$1)))</f>
        <v>0</v>
      </c>
      <c r="AS10" s="448">
        <f t="shared" ca="1" si="14"/>
        <v>0</v>
      </c>
      <c r="AT10" s="448">
        <f t="shared" ca="1" si="14"/>
        <v>0</v>
      </c>
      <c r="AU10" s="448">
        <f t="shared" ca="1" si="14"/>
        <v>0</v>
      </c>
      <c r="AV10" s="448">
        <f t="shared" ca="1" si="14"/>
        <v>0</v>
      </c>
      <c r="AW10" s="448">
        <f t="shared" ca="1" si="14"/>
        <v>0</v>
      </c>
      <c r="AX10" s="448">
        <f t="shared" ca="1" si="14"/>
        <v>0</v>
      </c>
      <c r="AY10" s="448">
        <f t="shared" ca="1" si="14"/>
        <v>0</v>
      </c>
      <c r="AZ10" s="448">
        <f t="shared" ca="1" si="14"/>
        <v>0</v>
      </c>
      <c r="BA10" s="448">
        <f t="shared" ca="1" si="14"/>
        <v>0</v>
      </c>
      <c r="BB10" s="448">
        <f t="shared" ref="BB10:BK19" ca="1" si="15">IF(OR($A10="",$A10&lt;$AH$2-1),0,IF($A10=$AH$2-1,BB$7,1/(1+BB$6)^($A10-$AH$2+0.5+$AJ$1)))</f>
        <v>0</v>
      </c>
      <c r="BC10" s="448">
        <f t="shared" ca="1" si="15"/>
        <v>0</v>
      </c>
      <c r="BD10" s="448">
        <f t="shared" ca="1" si="15"/>
        <v>0</v>
      </c>
      <c r="BE10" s="448">
        <f t="shared" ca="1" si="15"/>
        <v>0</v>
      </c>
      <c r="BF10" s="448">
        <f t="shared" ca="1" si="15"/>
        <v>0</v>
      </c>
      <c r="BG10" s="448">
        <f t="shared" ca="1" si="15"/>
        <v>0</v>
      </c>
      <c r="BH10" s="448">
        <f t="shared" ca="1" si="15"/>
        <v>0</v>
      </c>
      <c r="BI10" s="448">
        <f t="shared" ca="1" si="15"/>
        <v>0</v>
      </c>
      <c r="BJ10" s="448">
        <f t="shared" ca="1" si="15"/>
        <v>0</v>
      </c>
      <c r="BK10" s="448">
        <f t="shared" ca="1" si="15"/>
        <v>0</v>
      </c>
      <c r="BL10" s="448">
        <f t="shared" ref="BL10:BU19" ca="1" si="16">IF(OR($A10="",$A10&lt;$AH$2-1),0,IF($A10=$AH$2-1,BL$7,1/(1+BL$6)^($A10-$AH$2+0.5+$AJ$1)))</f>
        <v>0</v>
      </c>
      <c r="BM10" s="448">
        <f t="shared" ca="1" si="16"/>
        <v>0</v>
      </c>
      <c r="BN10" s="448">
        <f t="shared" ca="1" si="16"/>
        <v>0</v>
      </c>
      <c r="BO10" s="448">
        <f t="shared" ca="1" si="16"/>
        <v>0</v>
      </c>
      <c r="BP10" s="448">
        <f t="shared" ca="1" si="16"/>
        <v>0</v>
      </c>
      <c r="BQ10" s="448">
        <f t="shared" ca="1" si="16"/>
        <v>0</v>
      </c>
      <c r="BR10" s="448">
        <f t="shared" ca="1" si="16"/>
        <v>0</v>
      </c>
      <c r="BS10" s="448">
        <f t="shared" ca="1" si="16"/>
        <v>0</v>
      </c>
      <c r="BT10" s="448">
        <f t="shared" ca="1" si="16"/>
        <v>0</v>
      </c>
      <c r="BU10" s="448">
        <f t="shared" ca="1" si="16"/>
        <v>0</v>
      </c>
      <c r="BV10" s="448">
        <f t="shared" ref="BV10:CI19" ca="1" si="17">IF(OR($A10="",$A10&lt;$AH$2-1),0,IF($A10=$AH$2-1,BV$7,1/(1+BV$6)^($A10-$AH$2+0.5+$AJ$1)))</f>
        <v>0</v>
      </c>
      <c r="BW10" s="448">
        <f t="shared" ca="1" si="17"/>
        <v>0</v>
      </c>
      <c r="BX10" s="448">
        <f t="shared" ca="1" si="17"/>
        <v>0</v>
      </c>
      <c r="BY10" s="448">
        <f t="shared" ca="1" si="17"/>
        <v>0</v>
      </c>
      <c r="BZ10" s="448">
        <f t="shared" ca="1" si="17"/>
        <v>0</v>
      </c>
      <c r="CA10" s="448">
        <f t="shared" ca="1" si="17"/>
        <v>0</v>
      </c>
      <c r="CB10" s="448">
        <f t="shared" ca="1" si="17"/>
        <v>0</v>
      </c>
      <c r="CC10" s="448">
        <f t="shared" ca="1" si="17"/>
        <v>0</v>
      </c>
      <c r="CD10" s="448">
        <f t="shared" ca="1" si="17"/>
        <v>0</v>
      </c>
      <c r="CE10" s="448">
        <f t="shared" ca="1" si="17"/>
        <v>0</v>
      </c>
      <c r="CF10" s="448">
        <f t="shared" ca="1" si="17"/>
        <v>0</v>
      </c>
      <c r="CG10" s="448">
        <f t="shared" ca="1" si="17"/>
        <v>0</v>
      </c>
      <c r="CH10" s="448">
        <f t="shared" ca="1" si="17"/>
        <v>0</v>
      </c>
      <c r="CI10" s="448">
        <f t="shared" ca="1" si="17"/>
        <v>0</v>
      </c>
    </row>
    <row r="11" spans="1:87">
      <c r="A11" s="108">
        <f>IF(OR(A10=Abandonment!$B$4,A10=""),"",'Success Cash Flow'!A10+1)</f>
        <v>2024</v>
      </c>
      <c r="B11" s="196">
        <f ca="1">Revenue!S12*'Selected Economics'!$H12</f>
        <v>0</v>
      </c>
      <c r="C11" s="196">
        <f ca="1">Revenue!T12*'Selected Economics'!$H12</f>
        <v>0</v>
      </c>
      <c r="D11" s="196">
        <f ca="1">Revenue!U12*'Selected Economics'!$H12</f>
        <v>0</v>
      </c>
      <c r="E11" s="196">
        <f t="shared" ref="E11:E49" ca="1" si="18">SUM(B11:D11)</f>
        <v>0</v>
      </c>
      <c r="F11" s="196">
        <f ca="1">Exploration!X38*'Selected Economics'!$H12</f>
        <v>74.852665618512248</v>
      </c>
      <c r="G11" s="196">
        <f ca="1">-'Deposit Recovery'!Y17</f>
        <v>0</v>
      </c>
      <c r="H11" s="196">
        <f ca="1">Development!CC93*'Selected Economics'!$H12</f>
        <v>0</v>
      </c>
      <c r="I11" s="196">
        <f ca="1">Abandonment!K17*'Selected Economics'!$H12</f>
        <v>0</v>
      </c>
      <c r="J11" s="196">
        <f ca="1">Operations!P20</f>
        <v>0</v>
      </c>
      <c r="K11" s="196">
        <f t="shared" ca="1" si="8"/>
        <v>74.852665618512248</v>
      </c>
      <c r="L11" s="196">
        <f t="shared" ca="1" si="9"/>
        <v>-74.852665618512248</v>
      </c>
      <c r="M11" s="196">
        <f ca="1">Royalty!AM13*Development!$BT$89*'Selected Economics'!$H12</f>
        <v>0</v>
      </c>
      <c r="N11" s="196">
        <f ca="1">'Provincial Tax'!X11*Development!$BT$89*'Selected Economics'!$H12</f>
        <v>0</v>
      </c>
      <c r="O11" s="196">
        <f ca="1">'Federal Tax'!X12*Development!$BT$89*'Selected Economics'!$H12</f>
        <v>0</v>
      </c>
      <c r="P11" s="196">
        <f t="shared" ca="1" si="10"/>
        <v>0</v>
      </c>
      <c r="Q11" s="196">
        <f t="shared" ca="1" si="11"/>
        <v>-74.852665618512248</v>
      </c>
      <c r="R11" s="122"/>
      <c r="S11" s="122"/>
      <c r="T11" s="402"/>
      <c r="U11" s="402"/>
      <c r="V11" s="402"/>
      <c r="W11" s="402"/>
      <c r="X11" s="402"/>
      <c r="Y11" s="402"/>
      <c r="Z11" s="1"/>
      <c r="AA11" s="1"/>
      <c r="AB11" s="1"/>
      <c r="AC11" s="443"/>
      <c r="AD11" s="482">
        <f>IF(Thresholds!$E$1=Lists!$A$9,Exploration!U38-'Deposit Recovery'!V17,IF(Thresholds!$E$1=Lists!$A$10,Exploration!V38-'Deposit Recovery'!W17,IF(Thresholds!$E$1=Lists!$A$11,Exploration!W38-'Deposit Recovery'!X17,IF(Thresholds!$E$1=Lists!$A$12,Development!AY93,Development!BI93-Development!AY93))))</f>
        <v>5.3310080800000721</v>
      </c>
      <c r="AE11" s="482">
        <f t="shared" ref="AE11:AE50" ca="1" si="19">F11+H11+G11</f>
        <v>74.852665618512248</v>
      </c>
      <c r="AF11" s="447">
        <f ca="1">AH11*IF(Input!$B$3="Real",'Selected Economics'!H12,1)</f>
        <v>0</v>
      </c>
      <c r="AG11" s="449">
        <f t="shared" ca="1" si="12"/>
        <v>1</v>
      </c>
      <c r="AH11" s="449">
        <f t="shared" ca="1" si="13"/>
        <v>0</v>
      </c>
      <c r="AI11" s="446">
        <f t="shared" ca="1" si="13"/>
        <v>0</v>
      </c>
      <c r="AJ11" s="446">
        <f t="shared" ca="1" si="13"/>
        <v>0</v>
      </c>
      <c r="AK11" s="446">
        <f t="shared" ca="1" si="13"/>
        <v>0</v>
      </c>
      <c r="AL11" s="446">
        <f t="shared" ca="1" si="13"/>
        <v>0</v>
      </c>
      <c r="AM11" s="446">
        <f t="shared" ca="1" si="13"/>
        <v>0</v>
      </c>
      <c r="AN11" s="446">
        <f t="shared" ca="1" si="13"/>
        <v>0</v>
      </c>
      <c r="AO11" s="446">
        <f t="shared" ca="1" si="13"/>
        <v>0</v>
      </c>
      <c r="AP11" s="446">
        <f t="shared" ca="1" si="13"/>
        <v>0</v>
      </c>
      <c r="AQ11" s="446">
        <f t="shared" ca="1" si="13"/>
        <v>0</v>
      </c>
      <c r="AR11" s="446">
        <f t="shared" ca="1" si="14"/>
        <v>0</v>
      </c>
      <c r="AS11" s="446">
        <f t="shared" ca="1" si="14"/>
        <v>0</v>
      </c>
      <c r="AT11" s="446">
        <f t="shared" ca="1" si="14"/>
        <v>0</v>
      </c>
      <c r="AU11" s="446">
        <f t="shared" ca="1" si="14"/>
        <v>0</v>
      </c>
      <c r="AV11" s="446">
        <f t="shared" ca="1" si="14"/>
        <v>0</v>
      </c>
      <c r="AW11" s="446">
        <f t="shared" ca="1" si="14"/>
        <v>0</v>
      </c>
      <c r="AX11" s="446">
        <f t="shared" ca="1" si="14"/>
        <v>0</v>
      </c>
      <c r="AY11" s="446">
        <f t="shared" ca="1" si="14"/>
        <v>0</v>
      </c>
      <c r="AZ11" s="446">
        <f t="shared" ca="1" si="14"/>
        <v>0</v>
      </c>
      <c r="BA11" s="446">
        <f t="shared" ca="1" si="14"/>
        <v>0</v>
      </c>
      <c r="BB11" s="446">
        <f t="shared" ca="1" si="15"/>
        <v>0</v>
      </c>
      <c r="BC11" s="446">
        <f t="shared" ca="1" si="15"/>
        <v>0</v>
      </c>
      <c r="BD11" s="446">
        <f t="shared" ca="1" si="15"/>
        <v>0</v>
      </c>
      <c r="BE11" s="446">
        <f t="shared" ca="1" si="15"/>
        <v>0</v>
      </c>
      <c r="BF11" s="446">
        <f t="shared" ca="1" si="15"/>
        <v>0</v>
      </c>
      <c r="BG11" s="446">
        <f t="shared" ca="1" si="15"/>
        <v>0</v>
      </c>
      <c r="BH11" s="446">
        <f t="shared" ca="1" si="15"/>
        <v>0</v>
      </c>
      <c r="BI11" s="446">
        <f t="shared" ca="1" si="15"/>
        <v>0</v>
      </c>
      <c r="BJ11" s="446">
        <f t="shared" ca="1" si="15"/>
        <v>0</v>
      </c>
      <c r="BK11" s="446">
        <f t="shared" ca="1" si="15"/>
        <v>0</v>
      </c>
      <c r="BL11" s="446">
        <f t="shared" ca="1" si="16"/>
        <v>0</v>
      </c>
      <c r="BM11" s="446">
        <f t="shared" ca="1" si="16"/>
        <v>0</v>
      </c>
      <c r="BN11" s="446">
        <f t="shared" ca="1" si="16"/>
        <v>0</v>
      </c>
      <c r="BO11" s="446">
        <f t="shared" ca="1" si="16"/>
        <v>0</v>
      </c>
      <c r="BP11" s="446">
        <f t="shared" ca="1" si="16"/>
        <v>0</v>
      </c>
      <c r="BQ11" s="446">
        <f t="shared" ca="1" si="16"/>
        <v>0</v>
      </c>
      <c r="BR11" s="446">
        <f t="shared" ca="1" si="16"/>
        <v>0</v>
      </c>
      <c r="BS11" s="446">
        <f t="shared" ca="1" si="16"/>
        <v>0</v>
      </c>
      <c r="BT11" s="446">
        <f t="shared" ca="1" si="16"/>
        <v>0</v>
      </c>
      <c r="BU11" s="446">
        <f t="shared" ca="1" si="16"/>
        <v>0</v>
      </c>
      <c r="BV11" s="446">
        <f t="shared" ca="1" si="17"/>
        <v>0</v>
      </c>
      <c r="BW11" s="446">
        <f t="shared" ca="1" si="17"/>
        <v>0</v>
      </c>
      <c r="BX11" s="446">
        <f t="shared" ca="1" si="17"/>
        <v>0</v>
      </c>
      <c r="BY11" s="446">
        <f t="shared" ca="1" si="17"/>
        <v>0</v>
      </c>
      <c r="BZ11" s="446">
        <f t="shared" ca="1" si="17"/>
        <v>0</v>
      </c>
      <c r="CA11" s="446">
        <f t="shared" ca="1" si="17"/>
        <v>0</v>
      </c>
      <c r="CB11" s="446">
        <f t="shared" ca="1" si="17"/>
        <v>0</v>
      </c>
      <c r="CC11" s="446">
        <f t="shared" ca="1" si="17"/>
        <v>0</v>
      </c>
      <c r="CD11" s="446">
        <f t="shared" ca="1" si="17"/>
        <v>0</v>
      </c>
      <c r="CE11" s="446">
        <f t="shared" ca="1" si="17"/>
        <v>0</v>
      </c>
      <c r="CF11" s="446">
        <f t="shared" ca="1" si="17"/>
        <v>0</v>
      </c>
      <c r="CG11" s="446">
        <f t="shared" ca="1" si="17"/>
        <v>0</v>
      </c>
      <c r="CH11" s="446">
        <f t="shared" ca="1" si="17"/>
        <v>0</v>
      </c>
      <c r="CI11" s="446">
        <f t="shared" ca="1" si="17"/>
        <v>0</v>
      </c>
    </row>
    <row r="12" spans="1:87">
      <c r="A12" s="108">
        <f>IF(OR(A11=Abandonment!$B$4,A11=""),"",'Success Cash Flow'!A11+1)</f>
        <v>2025</v>
      </c>
      <c r="B12" s="196">
        <f ca="1">Revenue!S13*'Selected Economics'!$H13</f>
        <v>0</v>
      </c>
      <c r="C12" s="196">
        <f ca="1">Revenue!T13*'Selected Economics'!$H13</f>
        <v>0</v>
      </c>
      <c r="D12" s="196">
        <f ca="1">Revenue!U13*'Selected Economics'!$H13</f>
        <v>0</v>
      </c>
      <c r="E12" s="196">
        <f t="shared" ca="1" si="18"/>
        <v>0</v>
      </c>
      <c r="F12" s="196">
        <f ca="1">Exploration!X39*'Selected Economics'!$H13</f>
        <v>143.34600408396014</v>
      </c>
      <c r="G12" s="196">
        <f ca="1">-'Deposit Recovery'!Y18</f>
        <v>0</v>
      </c>
      <c r="H12" s="196">
        <f ca="1">Development!CC94*'Selected Economics'!$H13</f>
        <v>0</v>
      </c>
      <c r="I12" s="196">
        <f ca="1">Abandonment!K18*'Selected Economics'!$H13</f>
        <v>0</v>
      </c>
      <c r="J12" s="196">
        <f ca="1">Operations!P21</f>
        <v>0</v>
      </c>
      <c r="K12" s="196">
        <f t="shared" ca="1" si="8"/>
        <v>143.34600408396014</v>
      </c>
      <c r="L12" s="196">
        <f t="shared" ca="1" si="9"/>
        <v>-143.34600408396014</v>
      </c>
      <c r="M12" s="196">
        <f ca="1">Royalty!AM14*Development!$BT$89*'Selected Economics'!$H13</f>
        <v>0</v>
      </c>
      <c r="N12" s="196">
        <f ca="1">'Provincial Tax'!X12*Development!$BT$89*'Selected Economics'!$H13</f>
        <v>0</v>
      </c>
      <c r="O12" s="196">
        <f ca="1">'Federal Tax'!X13*Development!$BT$89*'Selected Economics'!$H13</f>
        <v>0</v>
      </c>
      <c r="P12" s="196">
        <f t="shared" ca="1" si="10"/>
        <v>0</v>
      </c>
      <c r="Q12" s="196">
        <f t="shared" ca="1" si="11"/>
        <v>-143.34600408396014</v>
      </c>
      <c r="R12" s="122"/>
      <c r="S12" s="122"/>
      <c r="T12" s="402"/>
      <c r="U12" s="402"/>
      <c r="V12" s="402"/>
      <c r="W12" s="402"/>
      <c r="X12" s="402"/>
      <c r="Y12" s="402"/>
      <c r="Z12" s="1"/>
      <c r="AA12" s="1"/>
      <c r="AB12" s="1"/>
      <c r="AC12" s="440"/>
      <c r="AD12" s="482">
        <f>IF(Thresholds!$E$1=Lists!$A$9,Exploration!U39-'Deposit Recovery'!V18,IF(Thresholds!$E$1=Lists!$A$10,Exploration!V39-'Deposit Recovery'!W18,IF(Thresholds!$E$1=Lists!$A$11,Exploration!W39-'Deposit Recovery'!X18,IF(Thresholds!$E$1=Lists!$A$12,Development!AY94,Development!BI94-Development!AY94))))</f>
        <v>0</v>
      </c>
      <c r="AE12" s="482">
        <f t="shared" ca="1" si="19"/>
        <v>143.34600408396014</v>
      </c>
      <c r="AF12" s="447">
        <f ca="1">AH12*IF(Input!$B$3="Real",'Selected Economics'!H13,1)</f>
        <v>0</v>
      </c>
      <c r="AG12" s="449">
        <f t="shared" ca="1" si="12"/>
        <v>1</v>
      </c>
      <c r="AH12" s="449">
        <f t="shared" ca="1" si="13"/>
        <v>0</v>
      </c>
      <c r="AI12" s="446">
        <f t="shared" ca="1" si="13"/>
        <v>0</v>
      </c>
      <c r="AJ12" s="446">
        <f t="shared" ca="1" si="13"/>
        <v>0</v>
      </c>
      <c r="AK12" s="446">
        <f t="shared" ca="1" si="13"/>
        <v>0</v>
      </c>
      <c r="AL12" s="446">
        <f t="shared" ca="1" si="13"/>
        <v>0</v>
      </c>
      <c r="AM12" s="446">
        <f t="shared" ca="1" si="13"/>
        <v>0</v>
      </c>
      <c r="AN12" s="446">
        <f t="shared" ca="1" si="13"/>
        <v>0</v>
      </c>
      <c r="AO12" s="446">
        <f t="shared" ca="1" si="13"/>
        <v>0</v>
      </c>
      <c r="AP12" s="446">
        <f t="shared" ca="1" si="13"/>
        <v>0</v>
      </c>
      <c r="AQ12" s="446">
        <f t="shared" ca="1" si="13"/>
        <v>0</v>
      </c>
      <c r="AR12" s="446">
        <f t="shared" ca="1" si="14"/>
        <v>0</v>
      </c>
      <c r="AS12" s="446">
        <f t="shared" ca="1" si="14"/>
        <v>0</v>
      </c>
      <c r="AT12" s="446">
        <f t="shared" ca="1" si="14"/>
        <v>0</v>
      </c>
      <c r="AU12" s="446">
        <f t="shared" ca="1" si="14"/>
        <v>0</v>
      </c>
      <c r="AV12" s="446">
        <f t="shared" ca="1" si="14"/>
        <v>0</v>
      </c>
      <c r="AW12" s="446">
        <f t="shared" ca="1" si="14"/>
        <v>0</v>
      </c>
      <c r="AX12" s="446">
        <f t="shared" ca="1" si="14"/>
        <v>0</v>
      </c>
      <c r="AY12" s="446">
        <f t="shared" ca="1" si="14"/>
        <v>0</v>
      </c>
      <c r="AZ12" s="446">
        <f t="shared" ca="1" si="14"/>
        <v>0</v>
      </c>
      <c r="BA12" s="446">
        <f t="shared" ca="1" si="14"/>
        <v>0</v>
      </c>
      <c r="BB12" s="446">
        <f t="shared" ca="1" si="15"/>
        <v>0</v>
      </c>
      <c r="BC12" s="446">
        <f t="shared" ca="1" si="15"/>
        <v>0</v>
      </c>
      <c r="BD12" s="446">
        <f t="shared" ca="1" si="15"/>
        <v>0</v>
      </c>
      <c r="BE12" s="446">
        <f t="shared" ca="1" si="15"/>
        <v>0</v>
      </c>
      <c r="BF12" s="446">
        <f t="shared" ca="1" si="15"/>
        <v>0</v>
      </c>
      <c r="BG12" s="446">
        <f t="shared" ca="1" si="15"/>
        <v>0</v>
      </c>
      <c r="BH12" s="446">
        <f t="shared" ca="1" si="15"/>
        <v>0</v>
      </c>
      <c r="BI12" s="446">
        <f t="shared" ca="1" si="15"/>
        <v>0</v>
      </c>
      <c r="BJ12" s="446">
        <f t="shared" ca="1" si="15"/>
        <v>0</v>
      </c>
      <c r="BK12" s="446">
        <f t="shared" ca="1" si="15"/>
        <v>0</v>
      </c>
      <c r="BL12" s="446">
        <f t="shared" ca="1" si="16"/>
        <v>0</v>
      </c>
      <c r="BM12" s="446">
        <f t="shared" ca="1" si="16"/>
        <v>0</v>
      </c>
      <c r="BN12" s="446">
        <f t="shared" ca="1" si="16"/>
        <v>0</v>
      </c>
      <c r="BO12" s="446">
        <f t="shared" ca="1" si="16"/>
        <v>0</v>
      </c>
      <c r="BP12" s="446">
        <f t="shared" ca="1" si="16"/>
        <v>0</v>
      </c>
      <c r="BQ12" s="446">
        <f t="shared" ca="1" si="16"/>
        <v>0</v>
      </c>
      <c r="BR12" s="446">
        <f t="shared" ca="1" si="16"/>
        <v>0</v>
      </c>
      <c r="BS12" s="446">
        <f t="shared" ca="1" si="16"/>
        <v>0</v>
      </c>
      <c r="BT12" s="446">
        <f t="shared" ca="1" si="16"/>
        <v>0</v>
      </c>
      <c r="BU12" s="446">
        <f t="shared" ca="1" si="16"/>
        <v>0</v>
      </c>
      <c r="BV12" s="446">
        <f t="shared" ca="1" si="17"/>
        <v>0</v>
      </c>
      <c r="BW12" s="446">
        <f t="shared" ca="1" si="17"/>
        <v>0</v>
      </c>
      <c r="BX12" s="446">
        <f t="shared" ca="1" si="17"/>
        <v>0</v>
      </c>
      <c r="BY12" s="446">
        <f t="shared" ca="1" si="17"/>
        <v>0</v>
      </c>
      <c r="BZ12" s="446">
        <f t="shared" ca="1" si="17"/>
        <v>0</v>
      </c>
      <c r="CA12" s="446">
        <f t="shared" ca="1" si="17"/>
        <v>0</v>
      </c>
      <c r="CB12" s="446">
        <f t="shared" ca="1" si="17"/>
        <v>0</v>
      </c>
      <c r="CC12" s="446">
        <f t="shared" ca="1" si="17"/>
        <v>0</v>
      </c>
      <c r="CD12" s="446">
        <f t="shared" ca="1" si="17"/>
        <v>0</v>
      </c>
      <c r="CE12" s="446">
        <f t="shared" ca="1" si="17"/>
        <v>0</v>
      </c>
      <c r="CF12" s="446">
        <f t="shared" ca="1" si="17"/>
        <v>0</v>
      </c>
      <c r="CG12" s="446">
        <f t="shared" ca="1" si="17"/>
        <v>0</v>
      </c>
      <c r="CH12" s="446">
        <f t="shared" ca="1" si="17"/>
        <v>0</v>
      </c>
      <c r="CI12" s="446">
        <f t="shared" ca="1" si="17"/>
        <v>0</v>
      </c>
    </row>
    <row r="13" spans="1:87">
      <c r="A13" s="108">
        <f>IF(OR(A12=Abandonment!$B$4,A12=""),"",'Success Cash Flow'!A12+1)</f>
        <v>2026</v>
      </c>
      <c r="B13" s="196">
        <f ca="1">Revenue!S14*'Selected Economics'!$H14</f>
        <v>0</v>
      </c>
      <c r="C13" s="196">
        <f ca="1">Revenue!T14*'Selected Economics'!$H14</f>
        <v>0</v>
      </c>
      <c r="D13" s="196">
        <f ca="1">Revenue!U14*'Selected Economics'!$H14</f>
        <v>0</v>
      </c>
      <c r="E13" s="196">
        <f t="shared" ca="1" si="18"/>
        <v>0</v>
      </c>
      <c r="F13" s="196">
        <f ca="1">Exploration!X40*'Selected Economics'!$H14</f>
        <v>221.40191068909044</v>
      </c>
      <c r="G13" s="196">
        <f ca="1">-'Deposit Recovery'!Y19</f>
        <v>0</v>
      </c>
      <c r="H13" s="196">
        <f ca="1">Development!CC95*'Selected Economics'!$H14</f>
        <v>0</v>
      </c>
      <c r="I13" s="196">
        <f ca="1">Abandonment!K19*'Selected Economics'!$H14</f>
        <v>0</v>
      </c>
      <c r="J13" s="196">
        <f ca="1">Operations!P22</f>
        <v>0</v>
      </c>
      <c r="K13" s="196">
        <f t="shared" ca="1" si="8"/>
        <v>221.40191068909044</v>
      </c>
      <c r="L13" s="196">
        <f t="shared" ca="1" si="9"/>
        <v>-221.40191068909044</v>
      </c>
      <c r="M13" s="196">
        <f ca="1">Royalty!AM15*Development!$BT$89*'Selected Economics'!$H14</f>
        <v>0</v>
      </c>
      <c r="N13" s="196">
        <f ca="1">'Provincial Tax'!X13*Development!$BT$89*'Selected Economics'!$H14</f>
        <v>0</v>
      </c>
      <c r="O13" s="196">
        <f ca="1">'Federal Tax'!X14*Development!$BT$89*'Selected Economics'!$H14</f>
        <v>0</v>
      </c>
      <c r="P13" s="196">
        <f t="shared" ca="1" si="10"/>
        <v>0</v>
      </c>
      <c r="Q13" s="196">
        <f t="shared" ca="1" si="11"/>
        <v>-221.40191068909044</v>
      </c>
      <c r="R13" s="122"/>
      <c r="S13" s="122"/>
      <c r="T13" s="402"/>
      <c r="U13" s="402"/>
      <c r="V13" s="402"/>
      <c r="W13" s="402"/>
      <c r="X13" s="402"/>
      <c r="Y13" s="402"/>
      <c r="Z13" s="1"/>
      <c r="AA13" s="1"/>
      <c r="AB13" s="1"/>
      <c r="AC13" s="440"/>
      <c r="AD13" s="482">
        <f>IF(Thresholds!$E$1=Lists!$A$9,Exploration!U40-'Deposit Recovery'!V19,IF(Thresholds!$E$1=Lists!$A$10,Exploration!V40-'Deposit Recovery'!W19,IF(Thresholds!$E$1=Lists!$A$11,Exploration!W40-'Deposit Recovery'!X19,IF(Thresholds!$E$1=Lists!$A$12,Development!AY95,Development!BI95-Development!AY95))))</f>
        <v>0</v>
      </c>
      <c r="AE13" s="482">
        <f t="shared" ca="1" si="19"/>
        <v>221.40191068909044</v>
      </c>
      <c r="AF13" s="447">
        <f ca="1">AH13*IF(Input!$B$3="Real",'Selected Economics'!H14,1)</f>
        <v>0.95346258924559224</v>
      </c>
      <c r="AG13" s="449">
        <f t="shared" ca="1" si="12"/>
        <v>0.95346258924559224</v>
      </c>
      <c r="AH13" s="449">
        <f t="shared" ca="1" si="13"/>
        <v>0.95346258924559224</v>
      </c>
      <c r="AI13" s="446">
        <f t="shared" ca="1" si="13"/>
        <v>9.9999999999999947</v>
      </c>
      <c r="AJ13" s="446">
        <f t="shared" ca="1" si="13"/>
        <v>3.16227766016838</v>
      </c>
      <c r="AK13" s="446">
        <f t="shared" ca="1" si="13"/>
        <v>2.2360679774997902</v>
      </c>
      <c r="AL13" s="446">
        <f t="shared" ca="1" si="13"/>
        <v>1.8257418583505538</v>
      </c>
      <c r="AM13" s="446">
        <f t="shared" ca="1" si="13"/>
        <v>1.58113883008419</v>
      </c>
      <c r="AN13" s="446">
        <f t="shared" ca="1" si="13"/>
        <v>1.4142135623730951</v>
      </c>
      <c r="AO13" s="446">
        <f t="shared" ca="1" si="13"/>
        <v>1.2909944487358058</v>
      </c>
      <c r="AP13" s="446">
        <f t="shared" ca="1" si="13"/>
        <v>1.1952286093343938</v>
      </c>
      <c r="AQ13" s="446">
        <f t="shared" ca="1" si="13"/>
        <v>1.1180339887498951</v>
      </c>
      <c r="AR13" s="446">
        <f t="shared" ca="1" si="14"/>
        <v>1.0540925533894598</v>
      </c>
      <c r="AS13" s="446">
        <f t="shared" ca="1" si="14"/>
        <v>1</v>
      </c>
      <c r="AT13" s="446">
        <f t="shared" ca="1" si="14"/>
        <v>0.99503719020998926</v>
      </c>
      <c r="AU13" s="446">
        <f t="shared" ca="1" si="14"/>
        <v>0.99014754297667451</v>
      </c>
      <c r="AV13" s="446">
        <f t="shared" ca="1" si="14"/>
        <v>0.98532927816429317</v>
      </c>
      <c r="AW13" s="446">
        <f t="shared" ca="1" si="14"/>
        <v>0.98058067569092033</v>
      </c>
      <c r="AX13" s="446">
        <f t="shared" ca="1" si="14"/>
        <v>0.97590007294853331</v>
      </c>
      <c r="AY13" s="446">
        <f t="shared" ca="1" si="14"/>
        <v>0.97128586235726422</v>
      </c>
      <c r="AZ13" s="446">
        <f t="shared" ca="1" si="14"/>
        <v>0.96673648904566356</v>
      </c>
      <c r="BA13" s="446">
        <f t="shared" ca="1" si="14"/>
        <v>0.96225044864937637</v>
      </c>
      <c r="BB13" s="446">
        <f t="shared" ca="1" si="15"/>
        <v>0.95782628522115154</v>
      </c>
      <c r="BC13" s="446">
        <f t="shared" ca="1" si="15"/>
        <v>0.95346258924559246</v>
      </c>
      <c r="BD13" s="446">
        <f t="shared" ca="1" si="15"/>
        <v>0.93250480824031379</v>
      </c>
      <c r="BE13" s="446">
        <f t="shared" ca="1" si="15"/>
        <v>0.9128709291752769</v>
      </c>
      <c r="BF13" s="446">
        <f t="shared" ca="1" si="15"/>
        <v>0.89442719099991597</v>
      </c>
      <c r="BG13" s="446">
        <f t="shared" ca="1" si="15"/>
        <v>0.87705801930702931</v>
      </c>
      <c r="BH13" s="446">
        <f t="shared" ca="1" si="15"/>
        <v>0.86066296582387036</v>
      </c>
      <c r="BI13" s="446">
        <f t="shared" ca="1" si="15"/>
        <v>0.84515425472851657</v>
      </c>
      <c r="BJ13" s="446">
        <f t="shared" ca="1" si="15"/>
        <v>0.81649658092772615</v>
      </c>
      <c r="BK13" s="446">
        <f t="shared" ca="1" si="15"/>
        <v>0.79056941504209499</v>
      </c>
      <c r="BL13" s="446">
        <f t="shared" ca="1" si="16"/>
        <v>0.76696498884737041</v>
      </c>
      <c r="BM13" s="446">
        <f t="shared" ca="1" si="16"/>
        <v>0.7453559924999299</v>
      </c>
      <c r="BN13" s="446">
        <f t="shared" ca="1" si="16"/>
        <v>0.72547625011001171</v>
      </c>
      <c r="BO13" s="446">
        <f t="shared" ca="1" si="16"/>
        <v>0.70710678118654757</v>
      </c>
      <c r="BP13" s="446">
        <f t="shared" ca="1" si="16"/>
        <v>0.69006555934235425</v>
      </c>
      <c r="BQ13" s="446">
        <f t="shared" ca="1" si="16"/>
        <v>0.67419986246324215</v>
      </c>
      <c r="BR13" s="446">
        <f t="shared" ca="1" si="16"/>
        <v>0.65938047339578709</v>
      </c>
      <c r="BS13" s="446">
        <f t="shared" ca="1" si="16"/>
        <v>0.6454972243679028</v>
      </c>
      <c r="BT13" s="446">
        <f t="shared" ca="1" si="16"/>
        <v>0.63245553203367588</v>
      </c>
      <c r="BU13" s="446">
        <f t="shared" ca="1" si="16"/>
        <v>0.6201736729460422</v>
      </c>
      <c r="BV13" s="446">
        <f t="shared" ca="1" si="17"/>
        <v>0.60858061945018449</v>
      </c>
      <c r="BW13" s="446">
        <f t="shared" ca="1" si="17"/>
        <v>0.59761430466719678</v>
      </c>
      <c r="BX13" s="446">
        <f t="shared" ca="1" si="17"/>
        <v>0.58722021951470349</v>
      </c>
      <c r="BY13" s="446">
        <f t="shared" ca="1" si="17"/>
        <v>0.57735026918962573</v>
      </c>
      <c r="BZ13" s="446">
        <f t="shared" ca="1" si="17"/>
        <v>0.53452248382484868</v>
      </c>
      <c r="CA13" s="446">
        <f t="shared" ca="1" si="17"/>
        <v>0.5</v>
      </c>
      <c r="CB13" s="446">
        <f t="shared" ca="1" si="17"/>
        <v>0.47140452079103173</v>
      </c>
      <c r="CC13" s="446">
        <f t="shared" ca="1" si="17"/>
        <v>0.42640143271122083</v>
      </c>
      <c r="CD13" s="446">
        <f t="shared" ca="1" si="17"/>
        <v>0.39223227027636809</v>
      </c>
      <c r="CE13" s="446">
        <f t="shared" ca="1" si="17"/>
        <v>0.36514837167011072</v>
      </c>
      <c r="CF13" s="446">
        <f t="shared" ca="1" si="17"/>
        <v>0.34299717028501764</v>
      </c>
      <c r="CG13" s="446">
        <f t="shared" ca="1" si="17"/>
        <v>0.32444284226152509</v>
      </c>
      <c r="CH13" s="446">
        <f t="shared" ca="1" si="17"/>
        <v>0.30860669992418382</v>
      </c>
      <c r="CI13" s="446">
        <f t="shared" ca="1" si="17"/>
        <v>0.29488391230979427</v>
      </c>
    </row>
    <row r="14" spans="1:87">
      <c r="A14" s="108">
        <f>IF(OR(A13=Abandonment!$B$4,A13=""),"",'Success Cash Flow'!A13+1)</f>
        <v>2027</v>
      </c>
      <c r="B14" s="196">
        <f ca="1">Revenue!S15*'Selected Economics'!$H15</f>
        <v>0</v>
      </c>
      <c r="C14" s="196">
        <f ca="1">Revenue!T15*'Selected Economics'!$H15</f>
        <v>0</v>
      </c>
      <c r="D14" s="196">
        <f ca="1">Revenue!U15*'Selected Economics'!$H15</f>
        <v>0</v>
      </c>
      <c r="E14" s="196">
        <f t="shared" ca="1" si="18"/>
        <v>0</v>
      </c>
      <c r="F14" s="196">
        <f ca="1">Exploration!X41*'Selected Economics'!$H15</f>
        <v>0</v>
      </c>
      <c r="G14" s="196">
        <f ca="1">-'Deposit Recovery'!Y20</f>
        <v>0</v>
      </c>
      <c r="H14" s="196">
        <f ca="1">Development!CC96*'Selected Economics'!$H15</f>
        <v>14.316016678088269</v>
      </c>
      <c r="I14" s="196">
        <f ca="1">Abandonment!K20*'Selected Economics'!$H15</f>
        <v>0</v>
      </c>
      <c r="J14" s="196">
        <f ca="1">Operations!P23</f>
        <v>0</v>
      </c>
      <c r="K14" s="196">
        <f t="shared" ca="1" si="8"/>
        <v>14.316016678088269</v>
      </c>
      <c r="L14" s="196">
        <f t="shared" ca="1" si="9"/>
        <v>-14.316016678088269</v>
      </c>
      <c r="M14" s="196">
        <f ca="1">Royalty!AM16*Development!$BT$89*'Selected Economics'!$H15</f>
        <v>0</v>
      </c>
      <c r="N14" s="196">
        <f ca="1">'Provincial Tax'!X14*Development!$BT$89*'Selected Economics'!$H15</f>
        <v>0</v>
      </c>
      <c r="O14" s="196">
        <f ca="1">'Federal Tax'!X15*Development!$BT$89*'Selected Economics'!$H15</f>
        <v>0</v>
      </c>
      <c r="P14" s="196">
        <f t="shared" ca="1" si="10"/>
        <v>0</v>
      </c>
      <c r="Q14" s="196">
        <f t="shared" ca="1" si="11"/>
        <v>-14.316016678088269</v>
      </c>
      <c r="R14" s="122"/>
      <c r="S14" s="122"/>
      <c r="T14" s="402"/>
      <c r="U14" s="402"/>
      <c r="V14" s="402"/>
      <c r="W14" s="402"/>
      <c r="X14" s="402"/>
      <c r="Y14" s="402"/>
      <c r="Z14" s="1"/>
      <c r="AA14" s="1"/>
      <c r="AB14" s="1"/>
      <c r="AC14" s="440"/>
      <c r="AD14" s="482">
        <f>IF(Thresholds!$E$1=Lists!$A$9,Exploration!U41-'Deposit Recovery'!V20,IF(Thresholds!$E$1=Lists!$A$10,Exploration!V41-'Deposit Recovery'!W20,IF(Thresholds!$E$1=Lists!$A$11,Exploration!W41-'Deposit Recovery'!X20,IF(Thresholds!$E$1=Lists!$A$12,Development!AY96,Development!BI96-Development!AY96))))</f>
        <v>0</v>
      </c>
      <c r="AE14" s="482">
        <f t="shared" ca="1" si="19"/>
        <v>14.316016678088269</v>
      </c>
      <c r="AF14" s="447">
        <f ca="1">AH14*IF(Input!$B$3="Real",'Selected Economics'!H15,1)</f>
        <v>0.86678417204144742</v>
      </c>
      <c r="AG14" s="449">
        <f t="shared" ca="1" si="12"/>
        <v>0.86678417204144742</v>
      </c>
      <c r="AH14" s="449">
        <f t="shared" ca="1" si="13"/>
        <v>0.86678417204144742</v>
      </c>
      <c r="AI14" s="446">
        <f t="shared" ca="1" si="13"/>
        <v>999.99999999999977</v>
      </c>
      <c r="AJ14" s="446">
        <f t="shared" ca="1" si="13"/>
        <v>31.622776601683803</v>
      </c>
      <c r="AK14" s="446">
        <f t="shared" ca="1" si="13"/>
        <v>11.180339887498951</v>
      </c>
      <c r="AL14" s="446">
        <f t="shared" ca="1" si="13"/>
        <v>6.0858061945018473</v>
      </c>
      <c r="AM14" s="446">
        <f t="shared" ca="1" si="13"/>
        <v>3.9528470752104763</v>
      </c>
      <c r="AN14" s="446">
        <f t="shared" ca="1" si="13"/>
        <v>2.8284271247461912</v>
      </c>
      <c r="AO14" s="446">
        <f t="shared" ca="1" si="13"/>
        <v>2.151657414559677</v>
      </c>
      <c r="AP14" s="446">
        <f t="shared" ca="1" si="13"/>
        <v>1.7074694419062773</v>
      </c>
      <c r="AQ14" s="446">
        <f t="shared" ca="1" si="13"/>
        <v>1.3975424859373691</v>
      </c>
      <c r="AR14" s="446">
        <f t="shared" ca="1" si="14"/>
        <v>1.1712139482105111</v>
      </c>
      <c r="AS14" s="446">
        <f t="shared" ca="1" si="14"/>
        <v>1.0000000000000002</v>
      </c>
      <c r="AT14" s="446">
        <f t="shared" ca="1" si="14"/>
        <v>0.98518533684157361</v>
      </c>
      <c r="AU14" s="446">
        <f t="shared" ca="1" si="14"/>
        <v>0.97073288527124968</v>
      </c>
      <c r="AV14" s="446">
        <f t="shared" ca="1" si="14"/>
        <v>0.95663036714979954</v>
      </c>
      <c r="AW14" s="446">
        <f t="shared" ca="1" si="14"/>
        <v>0.94286603431819271</v>
      </c>
      <c r="AX14" s="446">
        <f t="shared" ca="1" si="14"/>
        <v>0.92942864090336508</v>
      </c>
      <c r="AY14" s="446">
        <f t="shared" ca="1" si="14"/>
        <v>0.916307417318174</v>
      </c>
      <c r="AZ14" s="446">
        <f t="shared" ca="1" si="14"/>
        <v>0.90349204583706899</v>
      </c>
      <c r="BA14" s="446">
        <f t="shared" ca="1" si="14"/>
        <v>0.89097263763831147</v>
      </c>
      <c r="BB14" s="446">
        <f t="shared" ca="1" si="15"/>
        <v>0.87873971121206562</v>
      </c>
      <c r="BC14" s="446">
        <f t="shared" ca="1" si="15"/>
        <v>0.86678417204144775</v>
      </c>
      <c r="BD14" s="446">
        <f t="shared" ca="1" si="15"/>
        <v>0.81087374629592512</v>
      </c>
      <c r="BE14" s="446">
        <f t="shared" ca="1" si="15"/>
        <v>0.76072577431273092</v>
      </c>
      <c r="BF14" s="446">
        <f t="shared" ca="1" si="15"/>
        <v>0.71554175279993293</v>
      </c>
      <c r="BG14" s="446">
        <f t="shared" ca="1" si="15"/>
        <v>0.67466001485156102</v>
      </c>
      <c r="BH14" s="446">
        <f t="shared" ca="1" si="15"/>
        <v>0.63752812283249671</v>
      </c>
      <c r="BI14" s="446">
        <f t="shared" ca="1" si="15"/>
        <v>0.60368161052036906</v>
      </c>
      <c r="BJ14" s="446">
        <f t="shared" ca="1" si="15"/>
        <v>0.54433105395181747</v>
      </c>
      <c r="BK14" s="446">
        <f t="shared" ca="1" si="15"/>
        <v>0.49410588440130943</v>
      </c>
      <c r="BL14" s="446">
        <f t="shared" ca="1" si="16"/>
        <v>0.45115587579257094</v>
      </c>
      <c r="BM14" s="446">
        <f t="shared" ca="1" si="16"/>
        <v>0.41408666249996112</v>
      </c>
      <c r="BN14" s="446">
        <f t="shared" ca="1" si="16"/>
        <v>0.38182960532105892</v>
      </c>
      <c r="BO14" s="446">
        <f t="shared" ca="1" si="16"/>
        <v>0.35355339059327384</v>
      </c>
      <c r="BP14" s="446">
        <f t="shared" ca="1" si="16"/>
        <v>0.32860264730588307</v>
      </c>
      <c r="BQ14" s="446">
        <f t="shared" ca="1" si="16"/>
        <v>0.30645448293783739</v>
      </c>
      <c r="BR14" s="446">
        <f t="shared" ca="1" si="16"/>
        <v>0.2866871623459944</v>
      </c>
      <c r="BS14" s="446">
        <f t="shared" ca="1" si="16"/>
        <v>0.26895717681995956</v>
      </c>
      <c r="BT14" s="446">
        <f t="shared" ca="1" si="16"/>
        <v>0.25298221281347033</v>
      </c>
      <c r="BU14" s="446">
        <f t="shared" ca="1" si="16"/>
        <v>0.23852833574847779</v>
      </c>
      <c r="BV14" s="446">
        <f t="shared" ca="1" si="17"/>
        <v>0.22540022942599425</v>
      </c>
      <c r="BW14" s="446">
        <f t="shared" ca="1" si="17"/>
        <v>0.21343368023828452</v>
      </c>
      <c r="BX14" s="446">
        <f t="shared" ca="1" si="17"/>
        <v>0.20248973086713914</v>
      </c>
      <c r="BY14" s="446">
        <f t="shared" ca="1" si="17"/>
        <v>0.19245008972987526</v>
      </c>
      <c r="BZ14" s="446">
        <f t="shared" ca="1" si="17"/>
        <v>0.15272070966424248</v>
      </c>
      <c r="CA14" s="446">
        <f t="shared" ca="1" si="17"/>
        <v>0.12500000000000003</v>
      </c>
      <c r="CB14" s="446">
        <f t="shared" ca="1" si="17"/>
        <v>0.10475656017578483</v>
      </c>
      <c r="CC14" s="446">
        <f t="shared" ca="1" si="17"/>
        <v>7.7527533220221975E-2</v>
      </c>
      <c r="CD14" s="446">
        <f t="shared" ca="1" si="17"/>
        <v>6.0343426196364305E-2</v>
      </c>
      <c r="CE14" s="446">
        <f t="shared" ca="1" si="17"/>
        <v>4.8686449556014783E-2</v>
      </c>
      <c r="CF14" s="446">
        <f t="shared" ca="1" si="17"/>
        <v>4.0352608268825606E-2</v>
      </c>
      <c r="CG14" s="446">
        <f t="shared" ca="1" si="17"/>
        <v>3.41518781327921E-2</v>
      </c>
      <c r="CH14" s="446">
        <f t="shared" ca="1" si="17"/>
        <v>2.9391114278493693E-2</v>
      </c>
      <c r="CI14" s="446">
        <f t="shared" ca="1" si="17"/>
        <v>2.5642079331286462E-2</v>
      </c>
    </row>
    <row r="15" spans="1:87">
      <c r="A15" s="108">
        <f>IF(OR(A14=Abandonment!$B$4,A14=""),"",'Success Cash Flow'!A14+1)</f>
        <v>2028</v>
      </c>
      <c r="B15" s="196">
        <f ca="1">Revenue!S16*'Selected Economics'!$H16</f>
        <v>0</v>
      </c>
      <c r="C15" s="196">
        <f ca="1">Revenue!T16*'Selected Economics'!$H16</f>
        <v>0</v>
      </c>
      <c r="D15" s="196">
        <f ca="1">Revenue!U16*'Selected Economics'!$H16</f>
        <v>0</v>
      </c>
      <c r="E15" s="196">
        <f t="shared" ca="1" si="18"/>
        <v>0</v>
      </c>
      <c r="F15" s="196">
        <f ca="1">Exploration!X42*'Selected Economics'!$H16</f>
        <v>0</v>
      </c>
      <c r="G15" s="196">
        <f ca="1">-'Deposit Recovery'!Y21</f>
        <v>0</v>
      </c>
      <c r="H15" s="196">
        <f ca="1">Development!CC97*'Selected Economics'!$H16</f>
        <v>2.4305764579831179</v>
      </c>
      <c r="I15" s="196">
        <f ca="1">Abandonment!K21*'Selected Economics'!$H16</f>
        <v>0</v>
      </c>
      <c r="J15" s="196">
        <f ca="1">Operations!P24</f>
        <v>0</v>
      </c>
      <c r="K15" s="196">
        <f t="shared" ca="1" si="8"/>
        <v>2.4305764579831179</v>
      </c>
      <c r="L15" s="196">
        <f t="shared" ca="1" si="9"/>
        <v>-2.4305764579831179</v>
      </c>
      <c r="M15" s="196">
        <f ca="1">Royalty!AM17*Development!$BT$89*'Selected Economics'!$H16</f>
        <v>0</v>
      </c>
      <c r="N15" s="196">
        <f ca="1">'Provincial Tax'!X15*Development!$BT$89*'Selected Economics'!$H16</f>
        <v>0</v>
      </c>
      <c r="O15" s="196">
        <f ca="1">'Federal Tax'!X16*Development!$BT$89*'Selected Economics'!$H16</f>
        <v>0</v>
      </c>
      <c r="P15" s="196">
        <f t="shared" ca="1" si="10"/>
        <v>0</v>
      </c>
      <c r="Q15" s="196">
        <f t="shared" ca="1" si="11"/>
        <v>-2.4305764579831179</v>
      </c>
      <c r="R15" s="122"/>
      <c r="S15" s="122"/>
      <c r="T15" s="402"/>
      <c r="U15" s="402"/>
      <c r="V15" s="402"/>
      <c r="W15" s="402"/>
      <c r="X15" s="402"/>
      <c r="Y15" s="402"/>
      <c r="Z15" s="1"/>
      <c r="AA15" s="1"/>
      <c r="AB15" s="1"/>
      <c r="AC15" s="440"/>
      <c r="AD15" s="482">
        <f>IF(Thresholds!$E$1=Lists!$A$9,Exploration!U42-'Deposit Recovery'!V21,IF(Thresholds!$E$1=Lists!$A$10,Exploration!V42-'Deposit Recovery'!W21,IF(Thresholds!$E$1=Lists!$A$11,Exploration!W42-'Deposit Recovery'!X21,IF(Thresholds!$E$1=Lists!$A$12,Development!AY97,Development!BI97-Development!AY97))))</f>
        <v>0</v>
      </c>
      <c r="AE15" s="482">
        <f t="shared" ca="1" si="19"/>
        <v>2.4305764579831179</v>
      </c>
      <c r="AF15" s="447">
        <f ca="1">AH15*IF(Input!$B$3="Real",'Selected Economics'!H16,1)</f>
        <v>0.78798561094677033</v>
      </c>
      <c r="AG15" s="449">
        <f t="shared" ca="1" si="12"/>
        <v>0.78798561094677033</v>
      </c>
      <c r="AH15" s="449">
        <f t="shared" ca="1" si="13"/>
        <v>0.78798561094677033</v>
      </c>
      <c r="AI15" s="446">
        <f t="shared" ca="1" si="13"/>
        <v>99999.99999999984</v>
      </c>
      <c r="AJ15" s="446">
        <f t="shared" ca="1" si="13"/>
        <v>316.22776601683825</v>
      </c>
      <c r="AK15" s="446">
        <f t="shared" ca="1" si="13"/>
        <v>55.901699437494734</v>
      </c>
      <c r="AL15" s="446">
        <f t="shared" ca="1" si="13"/>
        <v>20.286020648339491</v>
      </c>
      <c r="AM15" s="446">
        <f t="shared" ca="1" si="13"/>
        <v>9.8821176880261898</v>
      </c>
      <c r="AN15" s="446">
        <f t="shared" ca="1" si="13"/>
        <v>5.6568542494923824</v>
      </c>
      <c r="AO15" s="446">
        <f t="shared" ca="1" si="13"/>
        <v>3.5860956909327961</v>
      </c>
      <c r="AP15" s="446">
        <f t="shared" ca="1" si="13"/>
        <v>2.4392420598661109</v>
      </c>
      <c r="AQ15" s="446">
        <f t="shared" ca="1" si="13"/>
        <v>1.7469281074217116</v>
      </c>
      <c r="AR15" s="446">
        <f t="shared" ca="1" si="14"/>
        <v>1.3013488313450123</v>
      </c>
      <c r="AS15" s="446">
        <f t="shared" ca="1" si="14"/>
        <v>1.0000000000000002</v>
      </c>
      <c r="AT15" s="446">
        <f t="shared" ca="1" si="14"/>
        <v>0.97543102657581571</v>
      </c>
      <c r="AU15" s="446">
        <f t="shared" ca="1" si="14"/>
        <v>0.95169890712867622</v>
      </c>
      <c r="AV15" s="446">
        <f t="shared" ca="1" si="14"/>
        <v>0.92876734674737815</v>
      </c>
      <c r="AW15" s="446">
        <f t="shared" ca="1" si="14"/>
        <v>0.90660195607518546</v>
      </c>
      <c r="AX15" s="446">
        <f t="shared" ca="1" si="14"/>
        <v>0.88517013419368129</v>
      </c>
      <c r="AY15" s="446">
        <f t="shared" ca="1" si="14"/>
        <v>0.86444095973412649</v>
      </c>
      <c r="AZ15" s="446">
        <f t="shared" ca="1" si="14"/>
        <v>0.84438508956735436</v>
      </c>
      <c r="BA15" s="446">
        <f t="shared" ca="1" si="14"/>
        <v>0.8249746644799183</v>
      </c>
      <c r="BB15" s="446">
        <f t="shared" ca="1" si="15"/>
        <v>0.80618322129547315</v>
      </c>
      <c r="BC15" s="446">
        <f t="shared" ca="1" si="15"/>
        <v>0.78798561094677078</v>
      </c>
      <c r="BD15" s="446">
        <f t="shared" ca="1" si="15"/>
        <v>0.70510760547471751</v>
      </c>
      <c r="BE15" s="446">
        <f t="shared" ca="1" si="15"/>
        <v>0.63393814526060932</v>
      </c>
      <c r="BF15" s="446">
        <f t="shared" ca="1" si="15"/>
        <v>0.57243340223994643</v>
      </c>
      <c r="BG15" s="446">
        <f t="shared" ca="1" si="15"/>
        <v>0.5189692421935086</v>
      </c>
      <c r="BH15" s="446">
        <f t="shared" ca="1" si="15"/>
        <v>0.47224305394999755</v>
      </c>
      <c r="BI15" s="446">
        <f t="shared" ca="1" si="15"/>
        <v>0.4312011503716921</v>
      </c>
      <c r="BJ15" s="446">
        <f t="shared" ca="1" si="15"/>
        <v>0.36288736930121168</v>
      </c>
      <c r="BK15" s="446">
        <f t="shared" ca="1" si="15"/>
        <v>0.30881617775081843</v>
      </c>
      <c r="BL15" s="446">
        <f t="shared" ca="1" si="16"/>
        <v>0.26538580928974764</v>
      </c>
      <c r="BM15" s="446">
        <f t="shared" ca="1" si="16"/>
        <v>0.23004814583331173</v>
      </c>
      <c r="BN15" s="446">
        <f t="shared" ca="1" si="16"/>
        <v>0.20096295016897842</v>
      </c>
      <c r="BO15" s="446">
        <f t="shared" ca="1" si="16"/>
        <v>0.176776695296637</v>
      </c>
      <c r="BP15" s="446">
        <f t="shared" ca="1" si="16"/>
        <v>0.15647745109803959</v>
      </c>
      <c r="BQ15" s="446">
        <f t="shared" ca="1" si="16"/>
        <v>0.13929749224447152</v>
      </c>
      <c r="BR15" s="446">
        <f t="shared" ca="1" si="16"/>
        <v>0.1246465923243454</v>
      </c>
      <c r="BS15" s="446">
        <f t="shared" ca="1" si="16"/>
        <v>0.11206549034164978</v>
      </c>
      <c r="BT15" s="446">
        <f t="shared" ca="1" si="16"/>
        <v>0.10119288512538813</v>
      </c>
      <c r="BU15" s="446">
        <f t="shared" ca="1" si="16"/>
        <v>9.1741667595568399E-2</v>
      </c>
      <c r="BV15" s="446">
        <f t="shared" ca="1" si="17"/>
        <v>8.3481566454071954E-2</v>
      </c>
      <c r="BW15" s="446">
        <f t="shared" ca="1" si="17"/>
        <v>7.6226314370815895E-2</v>
      </c>
      <c r="BX15" s="446">
        <f t="shared" ca="1" si="17"/>
        <v>6.9824045126599676E-2</v>
      </c>
      <c r="BY15" s="446">
        <f t="shared" ca="1" si="17"/>
        <v>6.4150029909958398E-2</v>
      </c>
      <c r="BZ15" s="446">
        <f t="shared" ca="1" si="17"/>
        <v>4.3634488475497848E-2</v>
      </c>
      <c r="CA15" s="446">
        <f t="shared" ca="1" si="17"/>
        <v>3.125E-2</v>
      </c>
      <c r="CB15" s="446">
        <f t="shared" ca="1" si="17"/>
        <v>2.3279235594618839E-2</v>
      </c>
      <c r="CC15" s="446">
        <f t="shared" ca="1" si="17"/>
        <v>1.409591513094945E-2</v>
      </c>
      <c r="CD15" s="446">
        <f t="shared" ca="1" si="17"/>
        <v>9.2836040302098997E-3</v>
      </c>
      <c r="CE15" s="446">
        <f t="shared" ca="1" si="17"/>
        <v>6.4915266074686354E-3</v>
      </c>
      <c r="CF15" s="446">
        <f t="shared" ca="1" si="17"/>
        <v>4.7473656786853639E-3</v>
      </c>
      <c r="CG15" s="446">
        <f t="shared" ca="1" si="17"/>
        <v>3.5949345402939061E-3</v>
      </c>
      <c r="CH15" s="446">
        <f t="shared" ca="1" si="17"/>
        <v>2.799153740808925E-3</v>
      </c>
      <c r="CI15" s="446">
        <f t="shared" ca="1" si="17"/>
        <v>2.2297460288075188E-3</v>
      </c>
    </row>
    <row r="16" spans="1:87">
      <c r="A16" s="108">
        <f>IF(OR(A15=Abandonment!$B$4,A15=""),"",'Success Cash Flow'!A15+1)</f>
        <v>2029</v>
      </c>
      <c r="B16" s="196">
        <f ca="1">Revenue!S17*'Selected Economics'!$H17</f>
        <v>0</v>
      </c>
      <c r="C16" s="196">
        <f ca="1">Revenue!T17*'Selected Economics'!$H17</f>
        <v>0</v>
      </c>
      <c r="D16" s="196">
        <f ca="1">Revenue!U17*'Selected Economics'!$H17</f>
        <v>0</v>
      </c>
      <c r="E16" s="196">
        <f t="shared" ca="1" si="18"/>
        <v>0</v>
      </c>
      <c r="F16" s="196">
        <f ca="1">Exploration!X43*'Selected Economics'!$H17</f>
        <v>0</v>
      </c>
      <c r="G16" s="196">
        <f ca="1">-'Deposit Recovery'!Y22</f>
        <v>0</v>
      </c>
      <c r="H16" s="196">
        <f ca="1">Development!CC98*'Selected Economics'!$H17</f>
        <v>472.39278561449589</v>
      </c>
      <c r="I16" s="196">
        <f ca="1">Abandonment!K22*'Selected Economics'!$H17</f>
        <v>0</v>
      </c>
      <c r="J16" s="196">
        <f ca="1">Operations!P25</f>
        <v>0</v>
      </c>
      <c r="K16" s="196">
        <f t="shared" ca="1" si="8"/>
        <v>472.39278561449589</v>
      </c>
      <c r="L16" s="196">
        <f t="shared" ca="1" si="9"/>
        <v>-472.39278561449589</v>
      </c>
      <c r="M16" s="196">
        <f ca="1">Royalty!AM18*Development!$BT$89*'Selected Economics'!$H17</f>
        <v>0</v>
      </c>
      <c r="N16" s="196">
        <f ca="1">'Provincial Tax'!X16*Development!$BT$89*'Selected Economics'!$H17</f>
        <v>0</v>
      </c>
      <c r="O16" s="196">
        <f ca="1">'Federal Tax'!X17*Development!$BT$89*'Selected Economics'!$H17</f>
        <v>0</v>
      </c>
      <c r="P16" s="196">
        <f t="shared" ca="1" si="10"/>
        <v>0</v>
      </c>
      <c r="Q16" s="196">
        <f t="shared" ca="1" si="11"/>
        <v>-472.39278561449589</v>
      </c>
      <c r="R16" s="122"/>
      <c r="S16" s="122"/>
      <c r="T16" s="402"/>
      <c r="U16" s="402"/>
      <c r="V16" s="402"/>
      <c r="W16" s="402"/>
      <c r="X16" s="402"/>
      <c r="Y16" s="402"/>
      <c r="Z16" s="1"/>
      <c r="AA16" s="1"/>
      <c r="AB16" s="1"/>
      <c r="AC16" s="440"/>
      <c r="AD16" s="482">
        <f>IF(Thresholds!$E$1=Lists!$A$9,Exploration!U43-'Deposit Recovery'!V22,IF(Thresholds!$E$1=Lists!$A$10,Exploration!V43-'Deposit Recovery'!W22,IF(Thresholds!$E$1=Lists!$A$11,Exploration!W43-'Deposit Recovery'!X22,IF(Thresholds!$E$1=Lists!$A$12,Development!AY98,Development!BI98-Development!AY98))))</f>
        <v>0</v>
      </c>
      <c r="AE16" s="482">
        <f t="shared" ca="1" si="19"/>
        <v>472.39278561449589</v>
      </c>
      <c r="AF16" s="447">
        <f ca="1">AH16*IF(Input!$B$3="Real",'Selected Economics'!H17,1)</f>
        <v>0.71635055540615489</v>
      </c>
      <c r="AG16" s="449">
        <f t="shared" ca="1" si="12"/>
        <v>0.71635055540615489</v>
      </c>
      <c r="AH16" s="449">
        <f t="shared" ca="1" si="13"/>
        <v>0.71635055540615489</v>
      </c>
      <c r="AI16" s="446">
        <f t="shared" ca="1" si="13"/>
        <v>9999999.9999999721</v>
      </c>
      <c r="AJ16" s="446">
        <f t="shared" ca="1" si="13"/>
        <v>3162.2776601683804</v>
      </c>
      <c r="AK16" s="446">
        <f t="shared" ca="1" si="13"/>
        <v>279.50849718747395</v>
      </c>
      <c r="AL16" s="446">
        <f t="shared" ca="1" si="13"/>
        <v>67.62006882779832</v>
      </c>
      <c r="AM16" s="446">
        <f t="shared" ca="1" si="13"/>
        <v>24.70529422006549</v>
      </c>
      <c r="AN16" s="446">
        <f t="shared" ca="1" si="13"/>
        <v>11.313708498984768</v>
      </c>
      <c r="AO16" s="446">
        <f t="shared" ca="1" si="13"/>
        <v>5.9768261515546612</v>
      </c>
      <c r="AP16" s="446">
        <f t="shared" ca="1" si="13"/>
        <v>3.484631514094445</v>
      </c>
      <c r="AQ16" s="446">
        <f t="shared" ca="1" si="13"/>
        <v>2.1836601342771402</v>
      </c>
      <c r="AR16" s="446">
        <f t="shared" ca="1" si="14"/>
        <v>1.4459431459389029</v>
      </c>
      <c r="AS16" s="446">
        <f t="shared" ca="1" si="14"/>
        <v>1.0000000000000004</v>
      </c>
      <c r="AT16" s="446">
        <f t="shared" ca="1" si="14"/>
        <v>0.96577329363942166</v>
      </c>
      <c r="AU16" s="446">
        <f t="shared" ca="1" si="14"/>
        <v>0.93303814424380038</v>
      </c>
      <c r="AV16" s="446">
        <f t="shared" ca="1" si="14"/>
        <v>0.90171587062852288</v>
      </c>
      <c r="AW16" s="446">
        <f t="shared" ca="1" si="14"/>
        <v>0.87173265007229384</v>
      </c>
      <c r="AX16" s="446">
        <f t="shared" ca="1" si="14"/>
        <v>0.84301917542255367</v>
      </c>
      <c r="AY16" s="446">
        <f t="shared" ca="1" si="14"/>
        <v>0.81551033937181772</v>
      </c>
      <c r="AZ16" s="446">
        <f t="shared" ca="1" si="14"/>
        <v>0.78914494352089193</v>
      </c>
      <c r="BA16" s="446">
        <f t="shared" ca="1" si="14"/>
        <v>0.76386543007399843</v>
      </c>
      <c r="BB16" s="446">
        <f t="shared" ca="1" si="15"/>
        <v>0.73961763421603055</v>
      </c>
      <c r="BC16" s="446">
        <f t="shared" ca="1" si="15"/>
        <v>0.71635055540615533</v>
      </c>
      <c r="BD16" s="446">
        <f t="shared" ca="1" si="15"/>
        <v>0.61313704823888482</v>
      </c>
      <c r="BE16" s="446">
        <f t="shared" ca="1" si="15"/>
        <v>0.5282817877171746</v>
      </c>
      <c r="BF16" s="446">
        <f t="shared" ca="1" si="15"/>
        <v>0.45794672179195717</v>
      </c>
      <c r="BG16" s="446">
        <f t="shared" ca="1" si="15"/>
        <v>0.39920710937962206</v>
      </c>
      <c r="BH16" s="446">
        <f t="shared" ca="1" si="15"/>
        <v>0.3498096695925908</v>
      </c>
      <c r="BI16" s="446">
        <f t="shared" ca="1" si="15"/>
        <v>0.30800082169406584</v>
      </c>
      <c r="BJ16" s="446">
        <f t="shared" ca="1" si="15"/>
        <v>0.2419249128674745</v>
      </c>
      <c r="BK16" s="446">
        <f t="shared" ca="1" si="15"/>
        <v>0.19301011109426155</v>
      </c>
      <c r="BL16" s="446">
        <f t="shared" ca="1" si="16"/>
        <v>0.15610929958220451</v>
      </c>
      <c r="BM16" s="446">
        <f t="shared" ca="1" si="16"/>
        <v>0.12780452546295093</v>
      </c>
      <c r="BN16" s="446">
        <f t="shared" ca="1" si="16"/>
        <v>0.10576997377314654</v>
      </c>
      <c r="BO16" s="446">
        <f t="shared" ca="1" si="16"/>
        <v>8.838834764831853E-2</v>
      </c>
      <c r="BP16" s="446">
        <f t="shared" ca="1" si="16"/>
        <v>7.4513071951447449E-2</v>
      </c>
      <c r="BQ16" s="446">
        <f t="shared" ca="1" si="16"/>
        <v>6.3317041929305262E-2</v>
      </c>
      <c r="BR16" s="446">
        <f t="shared" ca="1" si="16"/>
        <v>5.4194170575802357E-2</v>
      </c>
      <c r="BS16" s="446">
        <f t="shared" ca="1" si="16"/>
        <v>4.6693954309020777E-2</v>
      </c>
      <c r="BT16" s="446">
        <f t="shared" ca="1" si="16"/>
        <v>4.0477154050155249E-2</v>
      </c>
      <c r="BU16" s="446">
        <f t="shared" ca="1" si="16"/>
        <v>3.5285256767526307E-2</v>
      </c>
      <c r="BV16" s="446">
        <f t="shared" ca="1" si="17"/>
        <v>3.0919098686693305E-2</v>
      </c>
      <c r="BW16" s="446">
        <f t="shared" ca="1" si="17"/>
        <v>2.7223683703862821E-2</v>
      </c>
      <c r="BX16" s="446">
        <f t="shared" ca="1" si="17"/>
        <v>2.4077256940206789E-2</v>
      </c>
      <c r="BY16" s="446">
        <f t="shared" ca="1" si="17"/>
        <v>2.1383343303319469E-2</v>
      </c>
      <c r="BZ16" s="446">
        <f t="shared" ca="1" si="17"/>
        <v>1.24669967072851E-2</v>
      </c>
      <c r="CA16" s="446">
        <f t="shared" ca="1" si="17"/>
        <v>7.8125000000000017E-3</v>
      </c>
      <c r="CB16" s="446">
        <f t="shared" ca="1" si="17"/>
        <v>5.1731634654708552E-3</v>
      </c>
      <c r="CC16" s="446">
        <f t="shared" ca="1" si="17"/>
        <v>2.5628936601726272E-3</v>
      </c>
      <c r="CD16" s="446">
        <f t="shared" ca="1" si="17"/>
        <v>1.4282467738784455E-3</v>
      </c>
      <c r="CE16" s="446">
        <f t="shared" ca="1" si="17"/>
        <v>8.6553688099581848E-4</v>
      </c>
      <c r="CF16" s="446">
        <f t="shared" ca="1" si="17"/>
        <v>5.5851360925710208E-4</v>
      </c>
      <c r="CG16" s="446">
        <f t="shared" ca="1" si="17"/>
        <v>3.7841416213620039E-4</v>
      </c>
      <c r="CH16" s="446">
        <f t="shared" ca="1" si="17"/>
        <v>2.6658607055323103E-4</v>
      </c>
      <c r="CI16" s="446">
        <f t="shared" ca="1" si="17"/>
        <v>1.9389095902674059E-4</v>
      </c>
    </row>
    <row r="17" spans="1:87">
      <c r="A17" s="108">
        <f>IF(OR(A16=Abandonment!$B$4,A16=""),"",'Success Cash Flow'!A16+1)</f>
        <v>2030</v>
      </c>
      <c r="B17" s="196">
        <f ca="1">Revenue!S18*'Selected Economics'!$H18</f>
        <v>0</v>
      </c>
      <c r="C17" s="196">
        <f ca="1">Revenue!T18*'Selected Economics'!$H18</f>
        <v>0</v>
      </c>
      <c r="D17" s="196">
        <f ca="1">Revenue!U18*'Selected Economics'!$H18</f>
        <v>0</v>
      </c>
      <c r="E17" s="196">
        <f t="shared" ca="1" si="18"/>
        <v>0</v>
      </c>
      <c r="F17" s="196">
        <f ca="1">Exploration!X44*'Selected Economics'!$H18</f>
        <v>0</v>
      </c>
      <c r="G17" s="196">
        <f ca="1">-'Deposit Recovery'!Y23</f>
        <v>0</v>
      </c>
      <c r="H17" s="196">
        <f ca="1">Development!CC99*'Selected Economics'!$H18</f>
        <v>4284.4333489780374</v>
      </c>
      <c r="I17" s="196">
        <f ca="1">Abandonment!K23*'Selected Economics'!$H18</f>
        <v>0</v>
      </c>
      <c r="J17" s="196">
        <f ca="1">Operations!P26</f>
        <v>0</v>
      </c>
      <c r="K17" s="196">
        <f t="shared" ca="1" si="8"/>
        <v>4284.4333489780374</v>
      </c>
      <c r="L17" s="196">
        <f t="shared" ca="1" si="9"/>
        <v>-4284.4333489780374</v>
      </c>
      <c r="M17" s="196">
        <f ca="1">Royalty!AM19*Development!$BT$89*'Selected Economics'!$H18</f>
        <v>0</v>
      </c>
      <c r="N17" s="196">
        <f ca="1">'Provincial Tax'!X17*Development!$BT$89*'Selected Economics'!$H18</f>
        <v>0</v>
      </c>
      <c r="O17" s="196">
        <f ca="1">'Federal Tax'!X18*Development!$BT$89*'Selected Economics'!$H18</f>
        <v>0</v>
      </c>
      <c r="P17" s="196">
        <f t="shared" ca="1" si="10"/>
        <v>0</v>
      </c>
      <c r="Q17" s="196">
        <f t="shared" ca="1" si="11"/>
        <v>-4284.4333489780374</v>
      </c>
      <c r="R17" s="122"/>
      <c r="S17" s="122"/>
      <c r="T17" s="402"/>
      <c r="U17" s="402"/>
      <c r="V17" s="402"/>
      <c r="W17" s="402"/>
      <c r="X17" s="402"/>
      <c r="Y17" s="402"/>
      <c r="Z17" s="1"/>
      <c r="AA17" s="1"/>
      <c r="AB17" s="1"/>
      <c r="AC17" s="440"/>
      <c r="AD17" s="482">
        <f>IF(Thresholds!$E$1=Lists!$A$9,Exploration!U44-'Deposit Recovery'!V23,IF(Thresholds!$E$1=Lists!$A$10,Exploration!V44-'Deposit Recovery'!W23,IF(Thresholds!$E$1=Lists!$A$11,Exploration!W44-'Deposit Recovery'!X23,IF(Thresholds!$E$1=Lists!$A$12,Development!AY99,Development!BI99-Development!AY99))))</f>
        <v>0</v>
      </c>
      <c r="AE17" s="482">
        <f t="shared" ca="1" si="19"/>
        <v>4284.4333489780374</v>
      </c>
      <c r="AF17" s="447">
        <f ca="1">AH17*IF(Input!$B$3="Real",'Selected Economics'!H18,1)</f>
        <v>0.65122777764195883</v>
      </c>
      <c r="AG17" s="449">
        <f t="shared" ca="1" si="12"/>
        <v>0.65122777764195883</v>
      </c>
      <c r="AH17" s="449">
        <f t="shared" ca="1" si="13"/>
        <v>0.65122777764195883</v>
      </c>
      <c r="AI17" s="446">
        <f t="shared" ca="1" si="13"/>
        <v>999999999.99999928</v>
      </c>
      <c r="AJ17" s="446">
        <f t="shared" ca="1" si="13"/>
        <v>31622.77660168384</v>
      </c>
      <c r="AK17" s="446">
        <f t="shared" ca="1" si="13"/>
        <v>1397.5424859373688</v>
      </c>
      <c r="AL17" s="446">
        <f t="shared" ca="1" si="13"/>
        <v>225.40022942599441</v>
      </c>
      <c r="AM17" s="446">
        <f t="shared" ca="1" si="13"/>
        <v>61.763235550163749</v>
      </c>
      <c r="AN17" s="446">
        <f t="shared" ca="1" si="13"/>
        <v>22.62741699796954</v>
      </c>
      <c r="AO17" s="446">
        <f t="shared" ca="1" si="13"/>
        <v>9.9613769192577681</v>
      </c>
      <c r="AP17" s="446">
        <f t="shared" ca="1" si="13"/>
        <v>4.978045020134922</v>
      </c>
      <c r="AQ17" s="446">
        <f t="shared" ca="1" si="13"/>
        <v>2.7295751678464262</v>
      </c>
      <c r="AR17" s="446">
        <f t="shared" ca="1" si="14"/>
        <v>1.60660349548767</v>
      </c>
      <c r="AS17" s="446">
        <f t="shared" ca="1" si="14"/>
        <v>1.0000000000000004</v>
      </c>
      <c r="AT17" s="446">
        <f t="shared" ca="1" si="14"/>
        <v>0.9562111818212099</v>
      </c>
      <c r="AU17" s="446">
        <f t="shared" ca="1" si="14"/>
        <v>0.91474327867039285</v>
      </c>
      <c r="AV17" s="446">
        <f t="shared" ca="1" si="14"/>
        <v>0.87545230158109022</v>
      </c>
      <c r="AW17" s="446">
        <f t="shared" ca="1" si="14"/>
        <v>0.83820447122335962</v>
      </c>
      <c r="AX17" s="446">
        <f t="shared" ca="1" si="14"/>
        <v>0.80287540516433697</v>
      </c>
      <c r="AY17" s="446">
        <f t="shared" ca="1" si="14"/>
        <v>0.76934937676586579</v>
      </c>
      <c r="AZ17" s="446">
        <f t="shared" ca="1" si="14"/>
        <v>0.73751863880457202</v>
      </c>
      <c r="BA17" s="446">
        <f t="shared" ca="1" si="14"/>
        <v>0.70728280562407264</v>
      </c>
      <c r="BB17" s="446">
        <f t="shared" ca="1" si="15"/>
        <v>0.67854828827158775</v>
      </c>
      <c r="BC17" s="446">
        <f t="shared" ca="1" si="15"/>
        <v>0.65122777764195938</v>
      </c>
      <c r="BD17" s="446">
        <f t="shared" ca="1" si="15"/>
        <v>0.53316265064250867</v>
      </c>
      <c r="BE17" s="446">
        <f t="shared" ca="1" si="15"/>
        <v>0.4402348230976455</v>
      </c>
      <c r="BF17" s="446">
        <f t="shared" ca="1" si="15"/>
        <v>0.36635737743356589</v>
      </c>
      <c r="BG17" s="446">
        <f t="shared" ca="1" si="15"/>
        <v>0.30708239183047858</v>
      </c>
      <c r="BH17" s="446">
        <f t="shared" ca="1" si="15"/>
        <v>0.25911827377228952</v>
      </c>
      <c r="BI17" s="446">
        <f t="shared" ca="1" si="15"/>
        <v>0.22000058692433275</v>
      </c>
      <c r="BJ17" s="446">
        <f t="shared" ca="1" si="15"/>
        <v>0.16128327524498304</v>
      </c>
      <c r="BK17" s="446">
        <f t="shared" ca="1" si="15"/>
        <v>0.12063131943391349</v>
      </c>
      <c r="BL17" s="446">
        <f t="shared" ca="1" si="16"/>
        <v>9.1828999754237972E-2</v>
      </c>
      <c r="BM17" s="446">
        <f t="shared" ca="1" si="16"/>
        <v>7.1002514146083884E-2</v>
      </c>
      <c r="BN17" s="446">
        <f t="shared" ca="1" si="16"/>
        <v>5.5668407249024512E-2</v>
      </c>
      <c r="BO17" s="446">
        <f t="shared" ca="1" si="16"/>
        <v>4.4194173824159258E-2</v>
      </c>
      <c r="BP17" s="446">
        <f t="shared" ca="1" si="16"/>
        <v>3.5482415214974965E-2</v>
      </c>
      <c r="BQ17" s="446">
        <f t="shared" ca="1" si="16"/>
        <v>2.8780473604229667E-2</v>
      </c>
      <c r="BR17" s="446">
        <f t="shared" ca="1" si="16"/>
        <v>2.3562682859044507E-2</v>
      </c>
      <c r="BS17" s="446">
        <f t="shared" ca="1" si="16"/>
        <v>1.9455814295425315E-2</v>
      </c>
      <c r="BT17" s="446">
        <f t="shared" ca="1" si="16"/>
        <v>1.6190861620062093E-2</v>
      </c>
      <c r="BU17" s="446">
        <f t="shared" ca="1" si="16"/>
        <v>1.3571252602894737E-2</v>
      </c>
      <c r="BV17" s="446">
        <f t="shared" ca="1" si="17"/>
        <v>1.1451518032108629E-2</v>
      </c>
      <c r="BW17" s="446">
        <f t="shared" ca="1" si="17"/>
        <v>9.7227441799510022E-3</v>
      </c>
      <c r="BX17" s="446">
        <f t="shared" ca="1" si="17"/>
        <v>8.3025023931747547E-3</v>
      </c>
      <c r="BY17" s="446">
        <f t="shared" ca="1" si="17"/>
        <v>7.1277811011064909E-3</v>
      </c>
      <c r="BZ17" s="446">
        <f t="shared" ca="1" si="17"/>
        <v>3.561999059224314E-3</v>
      </c>
      <c r="CA17" s="446">
        <f t="shared" ca="1" si="17"/>
        <v>1.953125E-3</v>
      </c>
      <c r="CB17" s="446">
        <f t="shared" ca="1" si="17"/>
        <v>1.1495918812157448E-3</v>
      </c>
      <c r="CC17" s="446">
        <f t="shared" ca="1" si="17"/>
        <v>4.6598066548593216E-4</v>
      </c>
      <c r="CD17" s="446">
        <f t="shared" ca="1" si="17"/>
        <v>2.1973027290437617E-4</v>
      </c>
      <c r="CE17" s="446">
        <f t="shared" ca="1" si="17"/>
        <v>1.154049174661092E-4</v>
      </c>
      <c r="CF17" s="446">
        <f t="shared" ca="1" si="17"/>
        <v>6.5707483442011954E-5</v>
      </c>
      <c r="CG17" s="446">
        <f t="shared" ca="1" si="17"/>
        <v>3.9833069698547426E-5</v>
      </c>
      <c r="CH17" s="446">
        <f t="shared" ca="1" si="17"/>
        <v>2.5389149576498164E-5</v>
      </c>
      <c r="CI17" s="446">
        <f t="shared" ca="1" si="17"/>
        <v>1.686008339362965E-5</v>
      </c>
    </row>
    <row r="18" spans="1:87">
      <c r="A18" s="108">
        <f>IF(OR(A17=Abandonment!$B$4,A17=""),"",'Success Cash Flow'!A17+1)</f>
        <v>2031</v>
      </c>
      <c r="B18" s="196">
        <f ca="1">Revenue!S19*'Selected Economics'!$H19</f>
        <v>239.20228117098182</v>
      </c>
      <c r="C18" s="196">
        <f ca="1">Revenue!T19*'Selected Economics'!$H19</f>
        <v>2289.7300618961954</v>
      </c>
      <c r="D18" s="196">
        <f ca="1">Revenue!U19*'Selected Economics'!$H19</f>
        <v>0</v>
      </c>
      <c r="E18" s="196">
        <f t="shared" ca="1" si="18"/>
        <v>2528.932343067177</v>
      </c>
      <c r="F18" s="196">
        <f ca="1">Exploration!X45*'Selected Economics'!$H19</f>
        <v>0</v>
      </c>
      <c r="G18" s="196"/>
      <c r="H18" s="196">
        <f ca="1">Development!CC100*'Selected Economics'!$H19</f>
        <v>2860.6572677246518</v>
      </c>
      <c r="I18" s="196">
        <f ca="1">Abandonment!K24*'Selected Economics'!$H19</f>
        <v>0</v>
      </c>
      <c r="J18" s="196">
        <f ca="1">Operations!P27</f>
        <v>345.38599538637789</v>
      </c>
      <c r="K18" s="196">
        <f t="shared" ca="1" si="8"/>
        <v>3206.0432631110298</v>
      </c>
      <c r="L18" s="196">
        <f t="shared" ca="1" si="9"/>
        <v>-677.11092004385273</v>
      </c>
      <c r="M18" s="196">
        <f ca="1">Royalty!AM20*Development!$BT$89*'Selected Economics'!$H19</f>
        <v>50.578646861343543</v>
      </c>
      <c r="N18" s="196">
        <f ca="1">'Provincial Tax'!X18*Development!$BT$89*'Selected Economics'!$H19</f>
        <v>59.480887453873827</v>
      </c>
      <c r="O18" s="196">
        <f ca="1">'Federal Tax'!X19*Development!$BT$89*'Selected Economics'!$H19</f>
        <v>63.729522272007664</v>
      </c>
      <c r="P18" s="196">
        <f t="shared" ca="1" si="10"/>
        <v>173.78905658722505</v>
      </c>
      <c r="Q18" s="196">
        <f t="shared" ca="1" si="11"/>
        <v>-850.89997663107783</v>
      </c>
      <c r="R18" s="122"/>
      <c r="S18" s="122"/>
      <c r="T18" s="402"/>
      <c r="U18" s="402"/>
      <c r="V18" s="402"/>
      <c r="W18" s="402"/>
      <c r="X18" s="402"/>
      <c r="Y18" s="402"/>
      <c r="Z18" s="1"/>
      <c r="AA18" s="1"/>
      <c r="AB18" s="1"/>
      <c r="AC18" s="440"/>
      <c r="AD18" s="482">
        <f>IF(Thresholds!$E$1=Lists!$A$9,Exploration!U45-'Deposit Recovery'!V24,IF(Thresholds!$E$1=Lists!$A$10,Exploration!V45-'Deposit Recovery'!W24,IF(Thresholds!$E$1=Lists!$A$11,Exploration!W45-'Deposit Recovery'!X24,IF(Thresholds!$E$1=Lists!$A$12,Development!AY100,Development!BI100-Development!AY100))))</f>
        <v>0</v>
      </c>
      <c r="AE18" s="482">
        <f t="shared" ca="1" si="19"/>
        <v>2860.6572677246518</v>
      </c>
      <c r="AF18" s="447">
        <f ca="1">AH18*IF(Input!$B$3="Real",'Selected Economics'!H19,1)</f>
        <v>0.59202525240178083</v>
      </c>
      <c r="AG18" s="449">
        <f t="shared" ca="1" si="12"/>
        <v>0.59202525240178083</v>
      </c>
      <c r="AH18" s="449">
        <f t="shared" ca="1" si="13"/>
        <v>0.59202525240178083</v>
      </c>
      <c r="AI18" s="446">
        <f t="shared" ca="1" si="13"/>
        <v>99999999999.999802</v>
      </c>
      <c r="AJ18" s="446">
        <f t="shared" ca="1" si="13"/>
        <v>316227.76601683814</v>
      </c>
      <c r="AK18" s="446">
        <f t="shared" ca="1" si="13"/>
        <v>6987.7124296868515</v>
      </c>
      <c r="AL18" s="446">
        <f t="shared" ca="1" si="13"/>
        <v>751.33409808664794</v>
      </c>
      <c r="AM18" s="446">
        <f t="shared" ca="1" si="13"/>
        <v>154.40808887540939</v>
      </c>
      <c r="AN18" s="446">
        <f t="shared" ca="1" si="13"/>
        <v>45.25483399593908</v>
      </c>
      <c r="AO18" s="446">
        <f t="shared" ca="1" si="13"/>
        <v>16.602294865429627</v>
      </c>
      <c r="AP18" s="446">
        <f t="shared" ca="1" si="13"/>
        <v>7.1114928859070341</v>
      </c>
      <c r="AQ18" s="446">
        <f t="shared" ca="1" si="13"/>
        <v>3.4119689598080329</v>
      </c>
      <c r="AR18" s="446">
        <f t="shared" ca="1" si="14"/>
        <v>1.7851149949863001</v>
      </c>
      <c r="AS18" s="446">
        <f t="shared" ca="1" si="14"/>
        <v>1.0000000000000007</v>
      </c>
      <c r="AT18" s="446">
        <f t="shared" ca="1" si="14"/>
        <v>0.9467437443774358</v>
      </c>
      <c r="AU18" s="446">
        <f t="shared" ca="1" si="14"/>
        <v>0.89680713595136574</v>
      </c>
      <c r="AV18" s="446">
        <f t="shared" ca="1" si="14"/>
        <v>0.84995369085542749</v>
      </c>
      <c r="AW18" s="446">
        <f t="shared" ca="1" si="14"/>
        <v>0.80596583771476915</v>
      </c>
      <c r="AX18" s="446">
        <f t="shared" ca="1" si="14"/>
        <v>0.76464324301365449</v>
      </c>
      <c r="AY18" s="446">
        <f t="shared" ca="1" si="14"/>
        <v>0.72580129883572253</v>
      </c>
      <c r="AZ18" s="446">
        <f t="shared" ca="1" si="14"/>
        <v>0.68926975589212358</v>
      </c>
      <c r="BA18" s="446">
        <f t="shared" ca="1" si="14"/>
        <v>0.65489148668895636</v>
      </c>
      <c r="BB18" s="446">
        <f t="shared" ca="1" si="15"/>
        <v>0.62252136538677783</v>
      </c>
      <c r="BC18" s="446">
        <f t="shared" ca="1" si="15"/>
        <v>0.59202525240178139</v>
      </c>
      <c r="BD18" s="446">
        <f t="shared" ca="1" si="15"/>
        <v>0.46361969621087712</v>
      </c>
      <c r="BE18" s="446">
        <f t="shared" ca="1" si="15"/>
        <v>0.36686235258137134</v>
      </c>
      <c r="BF18" s="446">
        <f t="shared" ca="1" si="15"/>
        <v>0.29308590194685274</v>
      </c>
      <c r="BG18" s="446">
        <f t="shared" ca="1" si="15"/>
        <v>0.23621722448498358</v>
      </c>
      <c r="BH18" s="446">
        <f t="shared" ca="1" si="15"/>
        <v>0.19193946205354784</v>
      </c>
      <c r="BI18" s="446">
        <f t="shared" ca="1" si="15"/>
        <v>0.15714327637452341</v>
      </c>
      <c r="BJ18" s="446">
        <f t="shared" ca="1" si="15"/>
        <v>0.10752218349665539</v>
      </c>
      <c r="BK18" s="446">
        <f t="shared" ca="1" si="15"/>
        <v>7.539457464619595E-2</v>
      </c>
      <c r="BL18" s="446">
        <f t="shared" ca="1" si="16"/>
        <v>5.4017058678963517E-2</v>
      </c>
      <c r="BM18" s="446">
        <f t="shared" ca="1" si="16"/>
        <v>3.9445841192268821E-2</v>
      </c>
      <c r="BN18" s="446">
        <f t="shared" ca="1" si="16"/>
        <v>2.9299161710012903E-2</v>
      </c>
      <c r="BO18" s="446">
        <f t="shared" ca="1" si="16"/>
        <v>2.2097086912079639E-2</v>
      </c>
      <c r="BP18" s="446">
        <f t="shared" ca="1" si="16"/>
        <v>1.6896388197607137E-2</v>
      </c>
      <c r="BQ18" s="446">
        <f t="shared" ca="1" si="16"/>
        <v>1.3082033456468028E-2</v>
      </c>
      <c r="BR18" s="446">
        <f t="shared" ca="1" si="16"/>
        <v>1.0244644721323701E-2</v>
      </c>
      <c r="BS18" s="446">
        <f t="shared" ca="1" si="16"/>
        <v>8.1065892897605515E-3</v>
      </c>
      <c r="BT18" s="446">
        <f t="shared" ca="1" si="16"/>
        <v>6.4763446480248423E-3</v>
      </c>
      <c r="BU18" s="446">
        <f t="shared" ca="1" si="16"/>
        <v>5.2197125395748965E-3</v>
      </c>
      <c r="BV18" s="446">
        <f t="shared" ca="1" si="17"/>
        <v>4.2413029748550489E-3</v>
      </c>
      <c r="BW18" s="446">
        <f t="shared" ca="1" si="17"/>
        <v>3.4724086356967892E-3</v>
      </c>
      <c r="BX18" s="446">
        <f t="shared" ca="1" si="17"/>
        <v>2.8629318597154316E-3</v>
      </c>
      <c r="BY18" s="446">
        <f t="shared" ca="1" si="17"/>
        <v>2.3759270337021625E-3</v>
      </c>
      <c r="BZ18" s="446">
        <f t="shared" ca="1" si="17"/>
        <v>1.0177140169212325E-3</v>
      </c>
      <c r="CA18" s="446">
        <f t="shared" ca="1" si="17"/>
        <v>4.8828125E-4</v>
      </c>
      <c r="CB18" s="446">
        <f t="shared" ca="1" si="17"/>
        <v>2.5546486249238757E-4</v>
      </c>
      <c r="CC18" s="446">
        <f t="shared" ca="1" si="17"/>
        <v>8.4723757361078564E-5</v>
      </c>
      <c r="CD18" s="446">
        <f t="shared" ca="1" si="17"/>
        <v>3.3804657369904039E-5</v>
      </c>
      <c r="CE18" s="446">
        <f t="shared" ca="1" si="17"/>
        <v>1.5387322328814556E-5</v>
      </c>
      <c r="CF18" s="446">
        <f t="shared" ca="1" si="17"/>
        <v>7.7302921696484725E-6</v>
      </c>
      <c r="CG18" s="446">
        <f t="shared" ca="1" si="17"/>
        <v>4.1929547051102564E-6</v>
      </c>
      <c r="CH18" s="446">
        <f t="shared" ca="1" si="17"/>
        <v>2.4180142453807789E-6</v>
      </c>
      <c r="CI18" s="446">
        <f t="shared" ca="1" si="17"/>
        <v>1.4660942081417061E-6</v>
      </c>
    </row>
    <row r="19" spans="1:87">
      <c r="A19" s="108">
        <f>IF(OR(A18=Abandonment!$B$4,A18=""),"",'Success Cash Flow'!A18+1)</f>
        <v>2032</v>
      </c>
      <c r="B19" s="196">
        <f ca="1">Revenue!S20*'Selected Economics'!$H20</f>
        <v>423.2408017237907</v>
      </c>
      <c r="C19" s="196">
        <f ca="1">Revenue!T20*'Selected Economics'!$H20</f>
        <v>4051.4128142251816</v>
      </c>
      <c r="D19" s="196">
        <f ca="1">Revenue!U20*'Selected Economics'!$H20</f>
        <v>0</v>
      </c>
      <c r="E19" s="196">
        <f t="shared" ca="1" si="18"/>
        <v>4474.6536159489724</v>
      </c>
      <c r="F19" s="196">
        <f ca="1">Exploration!X46*'Selected Economics'!$H20</f>
        <v>0</v>
      </c>
      <c r="G19" s="196"/>
      <c r="H19" s="196">
        <f ca="1">Development!CC101*'Selected Economics'!$H20</f>
        <v>0</v>
      </c>
      <c r="I19" s="196">
        <f ca="1">Abandonment!K25*'Selected Economics'!$H20</f>
        <v>0</v>
      </c>
      <c r="J19" s="196">
        <f ca="1">Operations!P28</f>
        <v>485.12933283851851</v>
      </c>
      <c r="K19" s="196">
        <f t="shared" ca="1" si="8"/>
        <v>485.12933283851851</v>
      </c>
      <c r="L19" s="196">
        <f t="shared" ca="1" si="9"/>
        <v>3989.5242831104538</v>
      </c>
      <c r="M19" s="196">
        <f ca="1">Royalty!AM21*Development!$BT$89*'Selected Economics'!$H20</f>
        <v>89.493072318979443</v>
      </c>
      <c r="N19" s="196">
        <f ca="1">'Provincial Tax'!X19*Development!$BT$89*'Selected Economics'!$H20</f>
        <v>313.99787395455098</v>
      </c>
      <c r="O19" s="196">
        <f ca="1">'Federal Tax'!X20*Development!$BT$89*'Selected Economics'!$H20</f>
        <v>418.52461272649538</v>
      </c>
      <c r="P19" s="196">
        <f t="shared" ca="1" si="10"/>
        <v>822.01555900002586</v>
      </c>
      <c r="Q19" s="196">
        <f t="shared" ca="1" si="11"/>
        <v>3167.5087241104279</v>
      </c>
      <c r="R19" s="122"/>
      <c r="S19" s="122"/>
      <c r="T19" s="402"/>
      <c r="U19" s="402"/>
      <c r="V19" s="402"/>
      <c r="W19" s="402"/>
      <c r="X19" s="402"/>
      <c r="Y19" s="402"/>
      <c r="Z19" s="1"/>
      <c r="AA19" s="1"/>
      <c r="AB19" s="1"/>
      <c r="AC19" s="440"/>
      <c r="AD19" s="482">
        <f>IF(Thresholds!$E$1=Lists!$A$9,Exploration!U46-'Deposit Recovery'!V25,IF(Thresholds!$E$1=Lists!$A$10,Exploration!V46-'Deposit Recovery'!W25,IF(Thresholds!$E$1=Lists!$A$11,Exploration!W46-'Deposit Recovery'!X25,IF(Thresholds!$E$1=Lists!$A$12,Development!AY101,Development!BI101-Development!AY101))))</f>
        <v>0</v>
      </c>
      <c r="AE19" s="482">
        <f t="shared" ca="1" si="19"/>
        <v>0</v>
      </c>
      <c r="AF19" s="447">
        <f ca="1">AH19*IF(Input!$B$3="Real",'Selected Economics'!H20,1)</f>
        <v>0.53820477491070973</v>
      </c>
      <c r="AG19" s="449">
        <f t="shared" ca="1" si="12"/>
        <v>0.53820477491070973</v>
      </c>
      <c r="AH19" s="449">
        <f t="shared" ca="1" si="13"/>
        <v>0.53820477491070973</v>
      </c>
      <c r="AI19" s="446">
        <f t="shared" ca="1" si="13"/>
        <v>9999999999999.9648</v>
      </c>
      <c r="AJ19" s="446">
        <f t="shared" ca="1" si="13"/>
        <v>3162277.6601683851</v>
      </c>
      <c r="AK19" s="446">
        <f t="shared" ca="1" si="13"/>
        <v>34938.562148434226</v>
      </c>
      <c r="AL19" s="446">
        <f t="shared" ca="1" si="13"/>
        <v>2504.4469936221617</v>
      </c>
      <c r="AM19" s="446">
        <f t="shared" ca="1" si="13"/>
        <v>386.02022218852346</v>
      </c>
      <c r="AN19" s="446">
        <f t="shared" ca="1" si="13"/>
        <v>90.509667991878217</v>
      </c>
      <c r="AO19" s="446">
        <f t="shared" ca="1" si="13"/>
        <v>27.670491442382705</v>
      </c>
      <c r="AP19" s="446">
        <f t="shared" ca="1" si="13"/>
        <v>10.159275551295762</v>
      </c>
      <c r="AQ19" s="446">
        <f t="shared" ca="1" si="13"/>
        <v>4.2649611997600418</v>
      </c>
      <c r="AR19" s="446">
        <f t="shared" ca="1" si="14"/>
        <v>1.9834611055403337</v>
      </c>
      <c r="AS19" s="446">
        <f t="shared" ca="1" si="14"/>
        <v>1.0000000000000007</v>
      </c>
      <c r="AT19" s="446">
        <f t="shared" ca="1" si="14"/>
        <v>0.93737004393805545</v>
      </c>
      <c r="AU19" s="446">
        <f t="shared" ca="1" si="14"/>
        <v>0.87922268230526068</v>
      </c>
      <c r="AV19" s="446">
        <f t="shared" ca="1" si="14"/>
        <v>0.82519775811206575</v>
      </c>
      <c r="AW19" s="446">
        <f t="shared" ca="1" si="14"/>
        <v>0.77496715164881647</v>
      </c>
      <c r="AX19" s="446">
        <f t="shared" ca="1" si="14"/>
        <v>0.72823166001300432</v>
      </c>
      <c r="AY19" s="446">
        <f t="shared" ca="1" si="14"/>
        <v>0.684718206448795</v>
      </c>
      <c r="AZ19" s="446">
        <f t="shared" ca="1" si="14"/>
        <v>0.64417734195525578</v>
      </c>
      <c r="BA19" s="446">
        <f t="shared" ca="1" si="14"/>
        <v>0.60638100619347812</v>
      </c>
      <c r="BB19" s="446">
        <f t="shared" ca="1" si="15"/>
        <v>0.57112051870346603</v>
      </c>
      <c r="BC19" s="446">
        <f t="shared" ca="1" si="15"/>
        <v>0.5382047749107105</v>
      </c>
      <c r="BD19" s="446">
        <f t="shared" ca="1" si="15"/>
        <v>0.40314756192250184</v>
      </c>
      <c r="BE19" s="446">
        <f t="shared" ca="1" si="15"/>
        <v>0.3057186271511429</v>
      </c>
      <c r="BF19" s="446">
        <f t="shared" ca="1" si="15"/>
        <v>0.23446872155748222</v>
      </c>
      <c r="BG19" s="446">
        <f t="shared" ca="1" si="15"/>
        <v>0.18170555729614121</v>
      </c>
      <c r="BH19" s="446">
        <f t="shared" ca="1" si="15"/>
        <v>0.14217737929892432</v>
      </c>
      <c r="BI19" s="446">
        <f t="shared" ca="1" si="15"/>
        <v>0.11224519741037388</v>
      </c>
      <c r="BJ19" s="446">
        <f t="shared" ca="1" si="15"/>
        <v>7.1681455664436941E-2</v>
      </c>
      <c r="BK19" s="446">
        <f t="shared" ca="1" si="15"/>
        <v>4.7121609153872486E-2</v>
      </c>
      <c r="BL19" s="446">
        <f t="shared" ca="1" si="16"/>
        <v>3.1774740399390308E-2</v>
      </c>
      <c r="BM19" s="446">
        <f t="shared" ca="1" si="16"/>
        <v>2.1914356217927124E-2</v>
      </c>
      <c r="BN19" s="446">
        <f t="shared" ca="1" si="16"/>
        <v>1.5420611426322587E-2</v>
      </c>
      <c r="BO19" s="446">
        <f t="shared" ca="1" si="16"/>
        <v>1.1048543456039818E-2</v>
      </c>
      <c r="BP19" s="446">
        <f t="shared" ca="1" si="16"/>
        <v>8.0458991417176832E-3</v>
      </c>
      <c r="BQ19" s="446">
        <f t="shared" ca="1" si="16"/>
        <v>5.9463788438491047E-3</v>
      </c>
      <c r="BR19" s="446">
        <f t="shared" ca="1" si="16"/>
        <v>4.4541933570972619E-3</v>
      </c>
      <c r="BS19" s="446">
        <f t="shared" ca="1" si="16"/>
        <v>3.3777455374002286E-3</v>
      </c>
      <c r="BT19" s="446">
        <f t="shared" ca="1" si="16"/>
        <v>2.5905378592099345E-3</v>
      </c>
      <c r="BU19" s="446">
        <f t="shared" ca="1" si="16"/>
        <v>2.0075817459903442E-3</v>
      </c>
      <c r="BV19" s="446">
        <f t="shared" ca="1" si="17"/>
        <v>1.5708529536500183E-3</v>
      </c>
      <c r="BW19" s="446">
        <f t="shared" ca="1" si="17"/>
        <v>1.2401459413202806E-3</v>
      </c>
      <c r="BX19" s="446">
        <f t="shared" ca="1" si="17"/>
        <v>9.8721788266049339E-4</v>
      </c>
      <c r="BY19" s="446">
        <f t="shared" ca="1" si="17"/>
        <v>7.9197567790072068E-4</v>
      </c>
      <c r="BZ19" s="446">
        <f t="shared" ca="1" si="17"/>
        <v>2.9077543340606641E-4</v>
      </c>
      <c r="CA19" s="446">
        <f t="shared" ca="1" si="17"/>
        <v>1.2207031250000008E-4</v>
      </c>
      <c r="CB19" s="446">
        <f t="shared" ca="1" si="17"/>
        <v>5.6769969442752872E-5</v>
      </c>
      <c r="CC19" s="446">
        <f t="shared" ca="1" si="17"/>
        <v>1.5404319520196102E-5</v>
      </c>
      <c r="CD19" s="446">
        <f t="shared" ca="1" si="17"/>
        <v>5.2007165184467786E-6</v>
      </c>
      <c r="CE19" s="446">
        <f t="shared" ca="1" si="17"/>
        <v>2.0516429771752731E-6</v>
      </c>
      <c r="CF19" s="446">
        <f t="shared" ca="1" si="17"/>
        <v>9.0944613760570172E-7</v>
      </c>
      <c r="CG19" s="446">
        <f t="shared" ca="1" si="17"/>
        <v>4.4136365316949997E-7</v>
      </c>
      <c r="CH19" s="446">
        <f t="shared" ca="1" si="17"/>
        <v>2.302870709886457E-7</v>
      </c>
      <c r="CI19" s="446">
        <f t="shared" ca="1" si="17"/>
        <v>1.2748645288188772E-7</v>
      </c>
    </row>
    <row r="20" spans="1:87">
      <c r="A20" s="108">
        <f>IF(OR(A19=Abandonment!$B$4,A19=""),"",'Success Cash Flow'!A19+1)</f>
        <v>2033</v>
      </c>
      <c r="B20" s="196">
        <f ca="1">Revenue!S21*'Selected Economics'!$H21</f>
        <v>434.74693827338564</v>
      </c>
      <c r="C20" s="196">
        <f ca="1">Revenue!T21*'Selected Economics'!$H21</f>
        <v>4161.5536817157299</v>
      </c>
      <c r="D20" s="196">
        <f ca="1">Revenue!U21*'Selected Economics'!$H21</f>
        <v>0</v>
      </c>
      <c r="E20" s="196">
        <f t="shared" ca="1" si="18"/>
        <v>4596.3006199891151</v>
      </c>
      <c r="F20" s="196">
        <f ca="1">Exploration!X47*'Selected Economics'!$H21</f>
        <v>0</v>
      </c>
      <c r="G20" s="196"/>
      <c r="H20" s="196">
        <f ca="1">Development!CC102*'Selected Economics'!$H21</f>
        <v>0</v>
      </c>
      <c r="I20" s="196">
        <f ca="1">Abandonment!K26*'Selected Economics'!$H21</f>
        <v>0</v>
      </c>
      <c r="J20" s="196">
        <f ca="1">Operations!P29</f>
        <v>499.31719009157177</v>
      </c>
      <c r="K20" s="196">
        <f t="shared" ca="1" si="8"/>
        <v>499.31719009157177</v>
      </c>
      <c r="L20" s="196">
        <f t="shared" ca="1" si="9"/>
        <v>4096.9834298975438</v>
      </c>
      <c r="M20" s="196">
        <f ca="1">Royalty!AM22*Development!$BT$89*'Selected Economics'!$H21</f>
        <v>120.65289127471428</v>
      </c>
      <c r="N20" s="196">
        <f ca="1">'Provincial Tax'!X20*Development!$BT$89*'Selected Economics'!$H21</f>
        <v>385.34213376007438</v>
      </c>
      <c r="O20" s="196">
        <f ca="1">'Federal Tax'!X21*Development!$BT$89*'Selected Economics'!$H21</f>
        <v>474.44031128861559</v>
      </c>
      <c r="P20" s="196">
        <f t="shared" ca="1" si="10"/>
        <v>980.43533632340427</v>
      </c>
      <c r="Q20" s="196">
        <f t="shared" ca="1" si="11"/>
        <v>3116.5480935741398</v>
      </c>
      <c r="R20" s="122"/>
      <c r="S20" s="122"/>
      <c r="T20" s="402"/>
      <c r="U20" s="402"/>
      <c r="V20" s="402"/>
      <c r="W20" s="402"/>
      <c r="X20" s="402"/>
      <c r="Y20" s="402"/>
      <c r="Z20" s="1"/>
      <c r="AA20" s="1"/>
      <c r="AB20" s="1"/>
      <c r="AC20" s="440"/>
      <c r="AD20" s="482">
        <f>IF(Thresholds!$E$1=Lists!$A$9,Exploration!U47-'Deposit Recovery'!V26,IF(Thresholds!$E$1=Lists!$A$10,Exploration!V47-'Deposit Recovery'!W26,IF(Thresholds!$E$1=Lists!$A$11,Exploration!W47-'Deposit Recovery'!X26,IF(Thresholds!$E$1=Lists!$A$12,Development!AY102,Development!BI102-Development!AY102))))</f>
        <v>0</v>
      </c>
      <c r="AE20" s="482">
        <f t="shared" ca="1" si="19"/>
        <v>0</v>
      </c>
      <c r="AF20" s="447">
        <f ca="1">AH20*IF(Input!$B$3="Real",'Selected Economics'!H21,1)</f>
        <v>0.48927706810064514</v>
      </c>
      <c r="AG20" s="449">
        <f t="shared" ca="1" si="12"/>
        <v>0.48927706810064514</v>
      </c>
      <c r="AH20" s="449">
        <f t="shared" ref="AH20:AQ26" ca="1" si="20">IF(OR($A20="",$A20&lt;$AH$2-1),0,IF($A20=$AH$2-1,AH$7,1/(1+AH$6)^($A20-$AH$2+0.5+$AJ$1)))</f>
        <v>0.48927706810064514</v>
      </c>
      <c r="AI20" s="446">
        <f t="shared" ca="1" si="20"/>
        <v>999999999999998.75</v>
      </c>
      <c r="AJ20" s="446">
        <f t="shared" ca="1" si="20"/>
        <v>31622776.601683889</v>
      </c>
      <c r="AK20" s="446">
        <f t="shared" ca="1" si="20"/>
        <v>174692.81074217131</v>
      </c>
      <c r="AL20" s="446">
        <f t="shared" ca="1" si="20"/>
        <v>8348.1566454072054</v>
      </c>
      <c r="AM20" s="446">
        <f t="shared" ca="1" si="20"/>
        <v>965.05055547130883</v>
      </c>
      <c r="AN20" s="446">
        <f t="shared" ca="1" si="20"/>
        <v>181.01933598375643</v>
      </c>
      <c r="AO20" s="446">
        <f t="shared" ca="1" si="20"/>
        <v>46.117485737304541</v>
      </c>
      <c r="AP20" s="446">
        <f t="shared" ca="1" si="20"/>
        <v>14.513250787565385</v>
      </c>
      <c r="AQ20" s="446">
        <f t="shared" ca="1" si="20"/>
        <v>5.3312014997000539</v>
      </c>
      <c r="AR20" s="446">
        <f t="shared" ref="AR20:BA26" ca="1" si="21">IF(OR($A20="",$A20&lt;$AH$2-1),0,IF($A20=$AH$2-1,AR$7,1/(1+AR$6)^($A20-$AH$2+0.5+$AJ$1)))</f>
        <v>2.2038456728225935</v>
      </c>
      <c r="AS20" s="446">
        <f t="shared" ca="1" si="21"/>
        <v>1.0000000000000009</v>
      </c>
      <c r="AT20" s="446">
        <f t="shared" ca="1" si="21"/>
        <v>0.92808915241391632</v>
      </c>
      <c r="AU20" s="446">
        <f t="shared" ca="1" si="21"/>
        <v>0.86198302186790277</v>
      </c>
      <c r="AV20" s="446">
        <f t="shared" ca="1" si="21"/>
        <v>0.80116287195346203</v>
      </c>
      <c r="AW20" s="446">
        <f t="shared" ca="1" si="21"/>
        <v>0.74516072273924683</v>
      </c>
      <c r="AX20" s="446">
        <f t="shared" ca="1" si="21"/>
        <v>0.69355396191714702</v>
      </c>
      <c r="AY20" s="446">
        <f t="shared" ca="1" si="21"/>
        <v>0.64596057212150482</v>
      </c>
      <c r="AZ20" s="446">
        <f t="shared" ca="1" si="21"/>
        <v>0.60203489902360363</v>
      </c>
      <c r="BA20" s="446">
        <f t="shared" ca="1" si="21"/>
        <v>0.56146389462359103</v>
      </c>
      <c r="BB20" s="446">
        <f t="shared" ref="BB20:BK26" ca="1" si="22">IF(OR($A20="",$A20&lt;$AH$2-1),0,IF($A20=$AH$2-1,BB$7,1/(1+BB$6)^($A20-$AH$2+0.5+$AJ$1)))</f>
        <v>0.52396377862703303</v>
      </c>
      <c r="BC20" s="446">
        <f t="shared" ca="1" si="22"/>
        <v>0.48927706810064592</v>
      </c>
      <c r="BD20" s="446">
        <f t="shared" ca="1" si="22"/>
        <v>0.35056309732391466</v>
      </c>
      <c r="BE20" s="446">
        <f t="shared" ca="1" si="22"/>
        <v>0.25476552262595248</v>
      </c>
      <c r="BF20" s="446">
        <f t="shared" ca="1" si="22"/>
        <v>0.18757497724598585</v>
      </c>
      <c r="BG20" s="446">
        <f t="shared" ca="1" si="22"/>
        <v>0.13977350561241633</v>
      </c>
      <c r="BH20" s="446">
        <f t="shared" ca="1" si="22"/>
        <v>0.10531657725846245</v>
      </c>
      <c r="BI20" s="446">
        <f t="shared" ca="1" si="22"/>
        <v>8.0175141007409897E-2</v>
      </c>
      <c r="BJ20" s="446">
        <f t="shared" ca="1" si="22"/>
        <v>4.7787637109624637E-2</v>
      </c>
      <c r="BK20" s="446">
        <f t="shared" ca="1" si="22"/>
        <v>2.9451005721170313E-2</v>
      </c>
      <c r="BL20" s="446">
        <f t="shared" ref="BL20:BU26" ca="1" si="23">IF(OR($A20="",$A20&lt;$AH$2-1),0,IF($A20=$AH$2-1,BL$7,1/(1+BL$6)^($A20-$AH$2+0.5+$AJ$1)))</f>
        <v>1.8691023764347243E-2</v>
      </c>
      <c r="BM20" s="446">
        <f t="shared" ca="1" si="23"/>
        <v>1.2174642343292845E-2</v>
      </c>
      <c r="BN20" s="446">
        <f t="shared" ca="1" si="23"/>
        <v>8.1161112770118914E-3</v>
      </c>
      <c r="BO20" s="446">
        <f t="shared" ca="1" si="23"/>
        <v>5.5242717280199133E-3</v>
      </c>
      <c r="BP20" s="446">
        <f t="shared" ca="1" si="23"/>
        <v>3.8313805436750894E-3</v>
      </c>
      <c r="BQ20" s="446">
        <f t="shared" ca="1" si="23"/>
        <v>2.7028994744768657E-3</v>
      </c>
      <c r="BR20" s="446">
        <f t="shared" ca="1" si="23"/>
        <v>1.9366058074335927E-3</v>
      </c>
      <c r="BS20" s="446">
        <f t="shared" ca="1" si="23"/>
        <v>1.4073939739167628E-3</v>
      </c>
      <c r="BT20" s="446">
        <f t="shared" ca="1" si="23"/>
        <v>1.0362151436839747E-3</v>
      </c>
      <c r="BU20" s="446">
        <f t="shared" ca="1" si="23"/>
        <v>7.7214682538090211E-4</v>
      </c>
      <c r="BV20" s="446">
        <f t="shared" ref="BV20:CI26" ca="1" si="24">IF(OR($A20="",$A20&lt;$AH$2-1),0,IF($A20=$AH$2-1,BV$7,1/(1+BV$6)^($A20-$AH$2+0.5+$AJ$1)))</f>
        <v>5.8179739024074759E-4</v>
      </c>
      <c r="BW20" s="446">
        <f t="shared" ca="1" si="24"/>
        <v>4.4290926475724338E-4</v>
      </c>
      <c r="BX20" s="446">
        <f t="shared" ca="1" si="24"/>
        <v>3.40419959538101E-4</v>
      </c>
      <c r="BY20" s="446">
        <f t="shared" ca="1" si="24"/>
        <v>2.6399189263357371E-4</v>
      </c>
      <c r="BZ20" s="446">
        <f t="shared" ca="1" si="24"/>
        <v>8.3078695258876112E-5</v>
      </c>
      <c r="CA20" s="446">
        <f t="shared" ca="1" si="24"/>
        <v>3.0517578125000014E-5</v>
      </c>
      <c r="CB20" s="446">
        <f t="shared" ca="1" si="24"/>
        <v>1.2615548765056187E-5</v>
      </c>
      <c r="CC20" s="446">
        <f t="shared" ca="1" si="24"/>
        <v>2.8007853673083821E-6</v>
      </c>
      <c r="CD20" s="446">
        <f t="shared" ca="1" si="24"/>
        <v>8.0011023360719698E-7</v>
      </c>
      <c r="CE20" s="446">
        <f t="shared" ca="1" si="24"/>
        <v>2.7355239695670298E-7</v>
      </c>
      <c r="CF20" s="446">
        <f t="shared" ca="1" si="24"/>
        <v>1.0699366324772972E-7</v>
      </c>
      <c r="CG20" s="446">
        <f t="shared" ca="1" si="24"/>
        <v>4.645933191257896E-8</v>
      </c>
      <c r="CH20" s="446">
        <f t="shared" ca="1" si="24"/>
        <v>2.1932101998918614E-8</v>
      </c>
      <c r="CI20" s="446">
        <f t="shared" ca="1" si="24"/>
        <v>1.108577851146848E-8</v>
      </c>
    </row>
    <row r="21" spans="1:87">
      <c r="A21" s="108">
        <f>IF(OR(A20=Abandonment!$B$4,A20=""),"",'Success Cash Flow'!A20+1)</f>
        <v>2034</v>
      </c>
      <c r="B21" s="196">
        <f ca="1">Revenue!S22*'Selected Economics'!$H22</f>
        <v>447.78934642158731</v>
      </c>
      <c r="C21" s="196">
        <f ca="1">Revenue!T22*'Selected Economics'!$H22</f>
        <v>4286.4002921672018</v>
      </c>
      <c r="D21" s="196">
        <f ca="1">Revenue!U22*'Selected Economics'!$H22</f>
        <v>0</v>
      </c>
      <c r="E21" s="196">
        <f t="shared" ca="1" si="18"/>
        <v>4734.1896385887894</v>
      </c>
      <c r="F21" s="196">
        <f ca="1">Exploration!X48*'Selected Economics'!$H22</f>
        <v>0</v>
      </c>
      <c r="G21" s="196"/>
      <c r="H21" s="196">
        <f ca="1">Development!CC103*'Selected Economics'!$H22</f>
        <v>0</v>
      </c>
      <c r="I21" s="196">
        <f ca="1">Abandonment!K27*'Selected Economics'!$H22</f>
        <v>0</v>
      </c>
      <c r="J21" s="196">
        <f ca="1">Operations!P30</f>
        <v>514.29670579431888</v>
      </c>
      <c r="K21" s="196">
        <f t="shared" ca="1" si="8"/>
        <v>514.29670579431888</v>
      </c>
      <c r="L21" s="196">
        <f t="shared" ca="1" si="9"/>
        <v>4219.8929327944707</v>
      </c>
      <c r="M21" s="196">
        <f ca="1">Royalty!AM23*Development!$BT$89*'Selected Economics'!$H22</f>
        <v>609.82396350041972</v>
      </c>
      <c r="N21" s="196">
        <f ca="1">'Provincial Tax'!X21*Development!$BT$89*'Selected Economics'!$H22</f>
        <v>378.76406047987467</v>
      </c>
      <c r="O21" s="196">
        <f ca="1">'Federal Tax'!X22*Development!$BT$89*'Selected Economics'!$H22</f>
        <v>431.47436097961281</v>
      </c>
      <c r="P21" s="196">
        <f t="shared" ca="1" si="10"/>
        <v>1420.0623849599071</v>
      </c>
      <c r="Q21" s="196">
        <f t="shared" ca="1" si="11"/>
        <v>2799.8305478345637</v>
      </c>
      <c r="R21" s="122"/>
      <c r="S21" s="122"/>
      <c r="T21" s="402"/>
      <c r="U21" s="402"/>
      <c r="V21" s="402"/>
      <c r="W21" s="402"/>
      <c r="X21" s="402"/>
      <c r="Y21" s="402"/>
      <c r="Z21" s="1"/>
      <c r="AA21" s="1"/>
      <c r="AB21" s="1"/>
      <c r="AC21" s="440"/>
      <c r="AD21" s="482">
        <f>IF(Thresholds!$E$1=Lists!$A$9,Exploration!U48-'Deposit Recovery'!V27,IF(Thresholds!$E$1=Lists!$A$10,Exploration!V48-'Deposit Recovery'!W27,IF(Thresholds!$E$1=Lists!$A$11,Exploration!W48-'Deposit Recovery'!X27,IF(Thresholds!$E$1=Lists!$A$12,Development!AY103,Development!BI103-Development!AY103))))</f>
        <v>0</v>
      </c>
      <c r="AE21" s="482">
        <f t="shared" ca="1" si="19"/>
        <v>0</v>
      </c>
      <c r="AF21" s="447">
        <f ca="1">AH21*IF(Input!$B$3="Real",'Selected Economics'!H22,1)</f>
        <v>0.44479733463695009</v>
      </c>
      <c r="AG21" s="449">
        <f t="shared" ca="1" si="12"/>
        <v>0.44479733463695009</v>
      </c>
      <c r="AH21" s="449">
        <f t="shared" ca="1" si="20"/>
        <v>0.44479733463695009</v>
      </c>
      <c r="AI21" s="446">
        <f t="shared" ca="1" si="20"/>
        <v>9.9999999999999392E+16</v>
      </c>
      <c r="AJ21" s="446">
        <f t="shared" ca="1" si="20"/>
        <v>316227766.01683807</v>
      </c>
      <c r="AK21" s="446">
        <f t="shared" ca="1" si="20"/>
        <v>873464.05371085601</v>
      </c>
      <c r="AL21" s="446">
        <f t="shared" ca="1" si="20"/>
        <v>27827.188818024013</v>
      </c>
      <c r="AM21" s="446">
        <f t="shared" ca="1" si="20"/>
        <v>2412.626388678274</v>
      </c>
      <c r="AN21" s="446">
        <f t="shared" ca="1" si="20"/>
        <v>362.03867196751293</v>
      </c>
      <c r="AO21" s="446">
        <f t="shared" ca="1" si="20"/>
        <v>76.86247622884089</v>
      </c>
      <c r="AP21" s="446">
        <f t="shared" ca="1" si="20"/>
        <v>20.733215410807691</v>
      </c>
      <c r="AQ21" s="446">
        <f t="shared" ca="1" si="20"/>
        <v>6.6640018746250691</v>
      </c>
      <c r="AR21" s="446">
        <f t="shared" ca="1" si="21"/>
        <v>2.448717414247326</v>
      </c>
      <c r="AS21" s="446">
        <f t="shared" ca="1" si="21"/>
        <v>1.0000000000000009</v>
      </c>
      <c r="AT21" s="446">
        <f t="shared" ca="1" si="21"/>
        <v>0.91890015090486798</v>
      </c>
      <c r="AU21" s="446">
        <f t="shared" ca="1" si="21"/>
        <v>0.84508139398814008</v>
      </c>
      <c r="AV21" s="446">
        <f t="shared" ca="1" si="21"/>
        <v>0.77782803102277887</v>
      </c>
      <c r="AW21" s="446">
        <f t="shared" ca="1" si="21"/>
        <v>0.71650069494158364</v>
      </c>
      <c r="AX21" s="446">
        <f t="shared" ca="1" si="21"/>
        <v>0.66052758277823542</v>
      </c>
      <c r="AY21" s="446">
        <f t="shared" ca="1" si="21"/>
        <v>0.60939676615236316</v>
      </c>
      <c r="AZ21" s="446">
        <f t="shared" ca="1" si="21"/>
        <v>0.56264943833981651</v>
      </c>
      <c r="BA21" s="446">
        <f t="shared" ca="1" si="21"/>
        <v>0.51987397650332512</v>
      </c>
      <c r="BB21" s="446">
        <f t="shared" ca="1" si="22"/>
        <v>0.48070071433672767</v>
      </c>
      <c r="BC21" s="446">
        <f t="shared" ca="1" si="22"/>
        <v>0.44479733463695087</v>
      </c>
      <c r="BD21" s="446">
        <f t="shared" ca="1" si="22"/>
        <v>0.30483747593383886</v>
      </c>
      <c r="BE21" s="446">
        <f t="shared" ca="1" si="22"/>
        <v>0.21230460218829375</v>
      </c>
      <c r="BF21" s="446">
        <f t="shared" ca="1" si="22"/>
        <v>0.15005998179678867</v>
      </c>
      <c r="BG21" s="446">
        <f t="shared" ca="1" si="22"/>
        <v>0.10751808124032027</v>
      </c>
      <c r="BH21" s="446">
        <f t="shared" ca="1" si="22"/>
        <v>7.8012279450712957E-2</v>
      </c>
      <c r="BI21" s="446">
        <f t="shared" ca="1" si="22"/>
        <v>5.7267957862435652E-2</v>
      </c>
      <c r="BJ21" s="446">
        <f t="shared" ca="1" si="22"/>
        <v>3.1858424739749751E-2</v>
      </c>
      <c r="BK21" s="446">
        <f t="shared" ca="1" si="22"/>
        <v>1.8406878575731443E-2</v>
      </c>
      <c r="BL21" s="446">
        <f t="shared" ca="1" si="23"/>
        <v>1.0994719861380732E-2</v>
      </c>
      <c r="BM21" s="446">
        <f t="shared" ca="1" si="23"/>
        <v>6.7636901907182504E-3</v>
      </c>
      <c r="BN21" s="446">
        <f t="shared" ca="1" si="23"/>
        <v>4.271637514216782E-3</v>
      </c>
      <c r="BO21" s="446">
        <f t="shared" ca="1" si="23"/>
        <v>2.7621358640099567E-3</v>
      </c>
      <c r="BP21" s="446">
        <f t="shared" ca="1" si="23"/>
        <v>1.8244669255595661E-3</v>
      </c>
      <c r="BQ21" s="446">
        <f t="shared" ca="1" si="23"/>
        <v>1.2285906702167581E-3</v>
      </c>
      <c r="BR21" s="446">
        <f t="shared" ca="1" si="23"/>
        <v>8.420025249711268E-4</v>
      </c>
      <c r="BS21" s="446">
        <f t="shared" ca="1" si="23"/>
        <v>5.8641415579865094E-4</v>
      </c>
      <c r="BT21" s="446">
        <f t="shared" ca="1" si="23"/>
        <v>4.1448605747358946E-4</v>
      </c>
      <c r="BU21" s="446">
        <f t="shared" ca="1" si="23"/>
        <v>2.9697954822342407E-4</v>
      </c>
      <c r="BV21" s="446">
        <f t="shared" ca="1" si="24"/>
        <v>2.1548051490398064E-4</v>
      </c>
      <c r="BW21" s="446">
        <f t="shared" ca="1" si="24"/>
        <v>1.5818188027044391E-4</v>
      </c>
      <c r="BX21" s="446">
        <f t="shared" ca="1" si="24"/>
        <v>1.1738619294417284E-4</v>
      </c>
      <c r="BY21" s="446">
        <f t="shared" ca="1" si="24"/>
        <v>8.7997297544524465E-5</v>
      </c>
      <c r="BZ21" s="446">
        <f t="shared" ca="1" si="24"/>
        <v>2.3736770073964602E-5</v>
      </c>
      <c r="CA21" s="446">
        <f t="shared" ca="1" si="24"/>
        <v>7.6293945312500034E-6</v>
      </c>
      <c r="CB21" s="446">
        <f t="shared" ca="1" si="24"/>
        <v>2.8034552811235959E-6</v>
      </c>
      <c r="CC21" s="446">
        <f t="shared" ca="1" si="24"/>
        <v>5.0923370314697864E-7</v>
      </c>
      <c r="CD21" s="446">
        <f t="shared" ca="1" si="24"/>
        <v>1.2309388209341476E-7</v>
      </c>
      <c r="CE21" s="446">
        <f t="shared" ca="1" si="24"/>
        <v>3.647365292756045E-8</v>
      </c>
      <c r="CF21" s="446">
        <f t="shared" ca="1" si="24"/>
        <v>1.2587489793850545E-8</v>
      </c>
      <c r="CG21" s="446">
        <f t="shared" ca="1" si="24"/>
        <v>4.890455990797787E-9</v>
      </c>
      <c r="CH21" s="446">
        <f t="shared" ca="1" si="24"/>
        <v>2.0887716189446348E-9</v>
      </c>
      <c r="CI21" s="446">
        <f t="shared" ca="1" si="24"/>
        <v>9.639807401276958E-10</v>
      </c>
    </row>
    <row r="22" spans="1:87">
      <c r="A22" s="108">
        <f>IF(OR(A21=Abandonment!$B$4,A21=""),"",'Success Cash Flow'!A21+1)</f>
        <v>2035</v>
      </c>
      <c r="B22" s="196">
        <f ca="1">Revenue!S23*'Selected Economics'!$H23</f>
        <v>448.73280446437002</v>
      </c>
      <c r="C22" s="196">
        <f ca="1">Revenue!T23*'Selected Economics'!$H23</f>
        <v>4295.4314110684218</v>
      </c>
      <c r="D22" s="196">
        <f ca="1">Revenue!U23*'Selected Economics'!$H23</f>
        <v>0</v>
      </c>
      <c r="E22" s="196">
        <f t="shared" ca="1" si="18"/>
        <v>4744.1642155327918</v>
      </c>
      <c r="F22" s="196">
        <f ca="1">Exploration!X49*'Selected Economics'!$H23</f>
        <v>0</v>
      </c>
      <c r="G22" s="196"/>
      <c r="H22" s="196">
        <f ca="1">Development!CC104*'Selected Economics'!$H23</f>
        <v>0</v>
      </c>
      <c r="I22" s="196">
        <f ca="1">Abandonment!K28*'Selected Economics'!$H23</f>
        <v>0</v>
      </c>
      <c r="J22" s="196">
        <f ca="1">Operations!P31</f>
        <v>520.38284147447939</v>
      </c>
      <c r="K22" s="196">
        <f t="shared" ca="1" si="8"/>
        <v>520.38284147447939</v>
      </c>
      <c r="L22" s="196">
        <f t="shared" ca="1" si="9"/>
        <v>4223.7813740583124</v>
      </c>
      <c r="M22" s="196">
        <f ca="1">Royalty!AM24*Development!$BT$89*'Selected Economics'!$H23</f>
        <v>1329.7431099090877</v>
      </c>
      <c r="N22" s="196">
        <f ca="1">'Provincial Tax'!X22*Development!$BT$89*'Selected Economics'!$H23</f>
        <v>311.4849182747563</v>
      </c>
      <c r="O22" s="196">
        <f ca="1">'Federal Tax'!X23*Development!$BT$89*'Selected Economics'!$H23</f>
        <v>352.97563457204922</v>
      </c>
      <c r="P22" s="196">
        <f t="shared" ca="1" si="10"/>
        <v>1994.2036627558932</v>
      </c>
      <c r="Q22" s="196">
        <f t="shared" ca="1" si="11"/>
        <v>2229.5777113024192</v>
      </c>
      <c r="R22" s="122"/>
      <c r="S22" s="122"/>
      <c r="T22" s="402"/>
      <c r="U22" s="402"/>
      <c r="V22" s="402"/>
      <c r="W22" s="402"/>
      <c r="X22" s="402"/>
      <c r="Y22" s="402"/>
      <c r="Z22" s="1"/>
      <c r="AA22" s="1"/>
      <c r="AB22" s="1"/>
      <c r="AC22" s="440"/>
      <c r="AD22" s="482">
        <f>IF(Thresholds!$E$1=Lists!$A$9,Exploration!U49-'Deposit Recovery'!V28,IF(Thresholds!$E$1=Lists!$A$10,Exploration!V49-'Deposit Recovery'!W28,IF(Thresholds!$E$1=Lists!$A$11,Exploration!W49-'Deposit Recovery'!X28,IF(Thresholds!$E$1=Lists!$A$12,Development!AY104,Development!BI104-Development!AY104))))</f>
        <v>0</v>
      </c>
      <c r="AE22" s="482">
        <f t="shared" ca="1" si="19"/>
        <v>0</v>
      </c>
      <c r="AF22" s="447">
        <f ca="1">AH22*IF(Input!$B$3="Real",'Selected Economics'!H23,1)</f>
        <v>0.4043612133063183</v>
      </c>
      <c r="AG22" s="449">
        <f t="shared" ca="1" si="12"/>
        <v>0.4043612133063183</v>
      </c>
      <c r="AH22" s="449">
        <f t="shared" ca="1" si="20"/>
        <v>0.4043612133063183</v>
      </c>
      <c r="AI22" s="446">
        <f t="shared" ca="1" si="20"/>
        <v>9.9999999999999611E+18</v>
      </c>
      <c r="AJ22" s="446">
        <f t="shared" ca="1" si="20"/>
        <v>3162277660.1683841</v>
      </c>
      <c r="AK22" s="446">
        <f t="shared" ca="1" si="20"/>
        <v>4367320.2685542842</v>
      </c>
      <c r="AL22" s="446">
        <f t="shared" ca="1" si="20"/>
        <v>92757.296060080043</v>
      </c>
      <c r="AM22" s="446">
        <f t="shared" ca="1" si="20"/>
        <v>6031.5659716956807</v>
      </c>
      <c r="AN22" s="446">
        <f t="shared" ca="1" si="20"/>
        <v>724.07734393502585</v>
      </c>
      <c r="AO22" s="446">
        <f t="shared" ca="1" si="20"/>
        <v>128.10412704806825</v>
      </c>
      <c r="AP22" s="446">
        <f t="shared" ca="1" si="20"/>
        <v>29.618879158296714</v>
      </c>
      <c r="AQ22" s="446">
        <f t="shared" ca="1" si="20"/>
        <v>8.3300023432813379</v>
      </c>
      <c r="AR22" s="446">
        <f t="shared" ca="1" si="21"/>
        <v>2.7207971269414739</v>
      </c>
      <c r="AS22" s="446">
        <f t="shared" ca="1" si="21"/>
        <v>1.0000000000000011</v>
      </c>
      <c r="AT22" s="446">
        <f t="shared" ca="1" si="21"/>
        <v>0.90980212960878037</v>
      </c>
      <c r="AU22" s="446">
        <f t="shared" ca="1" si="21"/>
        <v>0.82851117057660817</v>
      </c>
      <c r="AV22" s="446">
        <f t="shared" ca="1" si="21"/>
        <v>0.75517284565318343</v>
      </c>
      <c r="AW22" s="446">
        <f t="shared" ca="1" si="21"/>
        <v>0.68894297590536901</v>
      </c>
      <c r="AX22" s="446">
        <f t="shared" ca="1" si="21"/>
        <v>0.62907388836022438</v>
      </c>
      <c r="AY22" s="446">
        <f t="shared" ca="1" si="21"/>
        <v>0.57490260957770112</v>
      </c>
      <c r="AZ22" s="446">
        <f t="shared" ca="1" si="21"/>
        <v>0.52584059657926785</v>
      </c>
      <c r="BA22" s="446">
        <f t="shared" ca="1" si="21"/>
        <v>0.48136479305863433</v>
      </c>
      <c r="BB22" s="446">
        <f t="shared" ca="1" si="22"/>
        <v>0.44100982966672264</v>
      </c>
      <c r="BC22" s="446">
        <f t="shared" ca="1" si="22"/>
        <v>0.40436121330631902</v>
      </c>
      <c r="BD22" s="446">
        <f t="shared" ca="1" si="22"/>
        <v>0.26507606602942513</v>
      </c>
      <c r="BE22" s="446">
        <f t="shared" ca="1" si="22"/>
        <v>0.17692050182357816</v>
      </c>
      <c r="BF22" s="446">
        <f t="shared" ca="1" si="22"/>
        <v>0.12004798543743096</v>
      </c>
      <c r="BG22" s="446">
        <f t="shared" ca="1" si="22"/>
        <v>8.2706216338707908E-2</v>
      </c>
      <c r="BH22" s="446">
        <f t="shared" ca="1" si="22"/>
        <v>5.7786873667194767E-2</v>
      </c>
      <c r="BI22" s="446">
        <f t="shared" ca="1" si="22"/>
        <v>4.0905684187454029E-2</v>
      </c>
      <c r="BJ22" s="446">
        <f t="shared" ca="1" si="22"/>
        <v>2.1238949826499837E-2</v>
      </c>
      <c r="BK22" s="446">
        <f t="shared" ca="1" si="22"/>
        <v>1.1504299109832156E-2</v>
      </c>
      <c r="BL22" s="446">
        <f t="shared" ca="1" si="23"/>
        <v>6.4674822714004317E-3</v>
      </c>
      <c r="BM22" s="446">
        <f t="shared" ca="1" si="23"/>
        <v>3.7576056615101368E-3</v>
      </c>
      <c r="BN22" s="446">
        <f t="shared" ca="1" si="23"/>
        <v>2.2482302706404128E-3</v>
      </c>
      <c r="BO22" s="446">
        <f t="shared" ca="1" si="23"/>
        <v>1.3810679320049794E-3</v>
      </c>
      <c r="BP22" s="446">
        <f t="shared" ca="1" si="23"/>
        <v>8.6879377407598449E-4</v>
      </c>
      <c r="BQ22" s="446">
        <f t="shared" ca="1" si="23"/>
        <v>5.5845030464398099E-4</v>
      </c>
      <c r="BR22" s="446">
        <f t="shared" ca="1" si="23"/>
        <v>3.6608805433527254E-4</v>
      </c>
      <c r="BS22" s="446">
        <f t="shared" ca="1" si="23"/>
        <v>2.4433923158277134E-4</v>
      </c>
      <c r="BT22" s="446">
        <f t="shared" ca="1" si="23"/>
        <v>1.6579442298943594E-4</v>
      </c>
      <c r="BU22" s="446">
        <f t="shared" ca="1" si="23"/>
        <v>1.1422290316285538E-4</v>
      </c>
      <c r="BV22" s="446">
        <f t="shared" ca="1" si="24"/>
        <v>7.9807598112585355E-5</v>
      </c>
      <c r="BW22" s="446">
        <f t="shared" ca="1" si="24"/>
        <v>5.6493528668015726E-5</v>
      </c>
      <c r="BX22" s="446">
        <f t="shared" ca="1" si="24"/>
        <v>4.0477997566956095E-5</v>
      </c>
      <c r="BY22" s="446">
        <f t="shared" ca="1" si="24"/>
        <v>2.9332432514841504E-5</v>
      </c>
      <c r="BZ22" s="446">
        <f t="shared" ca="1" si="24"/>
        <v>6.7819343068470287E-6</v>
      </c>
      <c r="CA22" s="446">
        <f t="shared" ca="1" si="24"/>
        <v>1.9073486328125E-6</v>
      </c>
      <c r="CB22" s="446">
        <f t="shared" ca="1" si="24"/>
        <v>6.2299006247190986E-7</v>
      </c>
      <c r="CC22" s="446">
        <f t="shared" ca="1" si="24"/>
        <v>9.2587946026723384E-8</v>
      </c>
      <c r="CD22" s="446">
        <f t="shared" ca="1" si="24"/>
        <v>1.8937520322063823E-8</v>
      </c>
      <c r="CE22" s="446">
        <f t="shared" ca="1" si="24"/>
        <v>4.8631537236747161E-9</v>
      </c>
      <c r="CF22" s="446">
        <f t="shared" ca="1" si="24"/>
        <v>1.4808811522177098E-9</v>
      </c>
      <c r="CG22" s="446">
        <f t="shared" ca="1" si="24"/>
        <v>5.1478484113660924E-10</v>
      </c>
      <c r="CH22" s="446">
        <f t="shared" ca="1" si="24"/>
        <v>1.9893063037567922E-10</v>
      </c>
      <c r="CI22" s="446">
        <f t="shared" ca="1" si="24"/>
        <v>8.3824412185016885E-11</v>
      </c>
    </row>
    <row r="23" spans="1:87">
      <c r="A23" s="108">
        <f>IF(OR(A22=Abandonment!$B$4,A22=""),"",'Success Cash Flow'!A22+1)</f>
        <v>2036</v>
      </c>
      <c r="B23" s="196">
        <f ca="1">Revenue!S24*'Selected Economics'!$H24</f>
        <v>399.61045097867867</v>
      </c>
      <c r="C23" s="196">
        <f ca="1">Revenue!T24*'Selected Economics'!$H24</f>
        <v>3825.2146182491233</v>
      </c>
      <c r="D23" s="196">
        <f ca="1">Revenue!U24*'Selected Economics'!$H24</f>
        <v>0</v>
      </c>
      <c r="E23" s="196">
        <f t="shared" ca="1" si="18"/>
        <v>4224.8250692278016</v>
      </c>
      <c r="F23" s="196">
        <f ca="1">Exploration!X50*'Selected Economics'!$H24</f>
        <v>0</v>
      </c>
      <c r="G23" s="196"/>
      <c r="H23" s="196">
        <f ca="1">Development!CC105*'Selected Economics'!$H24</f>
        <v>0</v>
      </c>
      <c r="I23" s="196">
        <f ca="1">Abandonment!K29*'Selected Economics'!$H24</f>
        <v>0</v>
      </c>
      <c r="J23" s="196">
        <f ca="1">Operations!P32</f>
        <v>488.69966965892007</v>
      </c>
      <c r="K23" s="196">
        <f t="shared" ca="1" si="8"/>
        <v>488.69966965892007</v>
      </c>
      <c r="L23" s="196">
        <f t="shared" ca="1" si="9"/>
        <v>3736.1253995688817</v>
      </c>
      <c r="M23" s="196">
        <f ca="1">Royalty!AM25*Development!$BT$89*'Selected Economics'!$H24</f>
        <v>1290.5394014110461</v>
      </c>
      <c r="N23" s="196">
        <f ca="1">'Provincial Tax'!X23*Development!$BT$89*'Selected Economics'!$H24</f>
        <v>273.03434110937957</v>
      </c>
      <c r="O23" s="196">
        <f ca="1">'Federal Tax'!X24*Development!$BT$89*'Selected Economics'!$H24</f>
        <v>291.57470436759462</v>
      </c>
      <c r="P23" s="196">
        <f t="shared" ca="1" si="10"/>
        <v>1855.1484468880203</v>
      </c>
      <c r="Q23" s="196">
        <f t="shared" ca="1" si="11"/>
        <v>1880.9769526808614</v>
      </c>
      <c r="R23" s="122"/>
      <c r="S23" s="122"/>
      <c r="T23" s="402"/>
      <c r="U23" s="402"/>
      <c r="V23" s="402"/>
      <c r="W23" s="402"/>
      <c r="X23" s="402"/>
      <c r="Y23" s="402"/>
      <c r="Z23" s="1"/>
      <c r="AA23" s="1"/>
      <c r="AB23" s="1"/>
      <c r="AC23" s="440"/>
      <c r="AD23" s="482">
        <f>IF(Thresholds!$E$1=Lists!$A$9,Exploration!U50-'Deposit Recovery'!V29,IF(Thresholds!$E$1=Lists!$A$10,Exploration!V50-'Deposit Recovery'!W29,IF(Thresholds!$E$1=Lists!$A$11,Exploration!W50-'Deposit Recovery'!X29,IF(Thresholds!$E$1=Lists!$A$12,Development!AY105,Development!BI105-Development!AY105))))</f>
        <v>0</v>
      </c>
      <c r="AE23" s="482">
        <f t="shared" ca="1" si="19"/>
        <v>0</v>
      </c>
      <c r="AF23" s="447">
        <f ca="1">AH23*IF(Input!$B$3="Real",'Selected Economics'!H24,1)</f>
        <v>0.36760110300574383</v>
      </c>
      <c r="AG23" s="449">
        <f t="shared" ca="1" si="12"/>
        <v>0.36760110300574383</v>
      </c>
      <c r="AH23" s="449">
        <f t="shared" ca="1" si="20"/>
        <v>0.36760110300574383</v>
      </c>
      <c r="AI23" s="446">
        <f t="shared" ca="1" si="20"/>
        <v>9.9999999999999843E+20</v>
      </c>
      <c r="AJ23" s="446">
        <f t="shared" ca="1" si="20"/>
        <v>31622776601.683876</v>
      </c>
      <c r="AK23" s="446">
        <f t="shared" ca="1" si="20"/>
        <v>21836601.342771403</v>
      </c>
      <c r="AL23" s="446">
        <f t="shared" ca="1" si="20"/>
        <v>309190.98686693341</v>
      </c>
      <c r="AM23" s="446">
        <f t="shared" ca="1" si="20"/>
        <v>15078.914929239214</v>
      </c>
      <c r="AN23" s="446">
        <f t="shared" ca="1" si="20"/>
        <v>1448.1546878700519</v>
      </c>
      <c r="AO23" s="446">
        <f t="shared" ca="1" si="20"/>
        <v>213.50687841344703</v>
      </c>
      <c r="AP23" s="446">
        <f t="shared" ca="1" si="20"/>
        <v>42.312684511852453</v>
      </c>
      <c r="AQ23" s="446">
        <f t="shared" ca="1" si="20"/>
        <v>10.412502929101677</v>
      </c>
      <c r="AR23" s="446">
        <f t="shared" ca="1" si="21"/>
        <v>3.0231079188238601</v>
      </c>
      <c r="AS23" s="446">
        <f t="shared" ca="1" si="21"/>
        <v>1.0000000000000011</v>
      </c>
      <c r="AT23" s="446">
        <f t="shared" ca="1" si="21"/>
        <v>0.90079418773146591</v>
      </c>
      <c r="AU23" s="446">
        <f t="shared" ca="1" si="21"/>
        <v>0.81226585350647873</v>
      </c>
      <c r="AV23" s="446">
        <f t="shared" ca="1" si="21"/>
        <v>0.73317752005163461</v>
      </c>
      <c r="AW23" s="446">
        <f t="shared" ca="1" si="21"/>
        <v>0.66244516913977802</v>
      </c>
      <c r="AX23" s="446">
        <f t="shared" ca="1" si="21"/>
        <v>0.59911798891449952</v>
      </c>
      <c r="AY23" s="446">
        <f t="shared" ca="1" si="21"/>
        <v>0.54236095243179361</v>
      </c>
      <c r="AZ23" s="446">
        <f t="shared" ca="1" si="21"/>
        <v>0.49143980988716635</v>
      </c>
      <c r="BA23" s="446">
        <f t="shared" ca="1" si="21"/>
        <v>0.4457081417209578</v>
      </c>
      <c r="BB23" s="446">
        <f t="shared" ca="1" si="22"/>
        <v>0.40459617400616765</v>
      </c>
      <c r="BC23" s="446">
        <f t="shared" ca="1" si="22"/>
        <v>0.36760110300574456</v>
      </c>
      <c r="BD23" s="446">
        <f t="shared" ca="1" si="22"/>
        <v>0.23050092698210878</v>
      </c>
      <c r="BE23" s="446">
        <f t="shared" ca="1" si="22"/>
        <v>0.14743375151964852</v>
      </c>
      <c r="BF23" s="446">
        <f t="shared" ca="1" si="22"/>
        <v>9.6038388349944784E-2</v>
      </c>
      <c r="BG23" s="446">
        <f t="shared" ca="1" si="22"/>
        <v>6.3620166414390708E-2</v>
      </c>
      <c r="BH23" s="446">
        <f t="shared" ca="1" si="22"/>
        <v>4.2805091605329471E-2</v>
      </c>
      <c r="BI23" s="446">
        <f t="shared" ca="1" si="22"/>
        <v>2.9218345848181448E-2</v>
      </c>
      <c r="BJ23" s="446">
        <f t="shared" ca="1" si="22"/>
        <v>1.4159299884333227E-2</v>
      </c>
      <c r="BK23" s="446">
        <f t="shared" ca="1" si="22"/>
        <v>7.1901869436450955E-3</v>
      </c>
      <c r="BL23" s="446">
        <f t="shared" ca="1" si="23"/>
        <v>3.8044013361179011E-3</v>
      </c>
      <c r="BM23" s="446">
        <f t="shared" ca="1" si="23"/>
        <v>2.0875587008389661E-3</v>
      </c>
      <c r="BN23" s="446">
        <f t="shared" ca="1" si="23"/>
        <v>1.1832790898107441E-3</v>
      </c>
      <c r="BO23" s="446">
        <f t="shared" ca="1" si="23"/>
        <v>6.905339660024896E-4</v>
      </c>
      <c r="BP23" s="446">
        <f t="shared" ca="1" si="23"/>
        <v>4.1371132098856389E-4</v>
      </c>
      <c r="BQ23" s="446">
        <f t="shared" ca="1" si="23"/>
        <v>2.5384104756544565E-4</v>
      </c>
      <c r="BR23" s="446">
        <f t="shared" ca="1" si="23"/>
        <v>1.5916871927620552E-4</v>
      </c>
      <c r="BS23" s="446">
        <f t="shared" ca="1" si="23"/>
        <v>1.0180801315948802E-4</v>
      </c>
      <c r="BT23" s="446">
        <f t="shared" ca="1" si="23"/>
        <v>6.6317769195774304E-5</v>
      </c>
      <c r="BU23" s="446">
        <f t="shared" ca="1" si="23"/>
        <v>4.3931885831867437E-5</v>
      </c>
      <c r="BV23" s="446">
        <f t="shared" ca="1" si="24"/>
        <v>2.9558369671327892E-5</v>
      </c>
      <c r="BW23" s="446">
        <f t="shared" ca="1" si="24"/>
        <v>2.0176260238577027E-5</v>
      </c>
      <c r="BX23" s="446">
        <f t="shared" ca="1" si="24"/>
        <v>1.395793019550211E-5</v>
      </c>
      <c r="BY23" s="446">
        <f t="shared" ca="1" si="24"/>
        <v>9.7774775049471731E-6</v>
      </c>
      <c r="BZ23" s="446">
        <f t="shared" ca="1" si="24"/>
        <v>1.9376955162420083E-6</v>
      </c>
      <c r="CA23" s="446">
        <f t="shared" ca="1" si="24"/>
        <v>4.76837158203125E-7</v>
      </c>
      <c r="CB23" s="446">
        <f t="shared" ca="1" si="24"/>
        <v>1.38442236104869E-7</v>
      </c>
      <c r="CC23" s="446">
        <f t="shared" ca="1" si="24"/>
        <v>1.6834172004858795E-8</v>
      </c>
      <c r="CD23" s="446">
        <f t="shared" ca="1" si="24"/>
        <v>2.9134646649328921E-9</v>
      </c>
      <c r="CE23" s="446">
        <f t="shared" ca="1" si="24"/>
        <v>6.4842049648996317E-10</v>
      </c>
      <c r="CF23" s="446">
        <f t="shared" ca="1" si="24"/>
        <v>1.7422131202561337E-10</v>
      </c>
      <c r="CG23" s="446">
        <f t="shared" ca="1" si="24"/>
        <v>5.4187878014379933E-11</v>
      </c>
      <c r="CH23" s="446">
        <f t="shared" ca="1" si="24"/>
        <v>1.8945774321493235E-11</v>
      </c>
      <c r="CI23" s="446">
        <f t="shared" ca="1" si="24"/>
        <v>7.2890793204362643E-12</v>
      </c>
    </row>
    <row r="24" spans="1:87">
      <c r="A24" s="108">
        <f>IF(OR(A23=Abandonment!$B$4,A23=""),"",'Success Cash Flow'!A23+1)</f>
        <v>2037</v>
      </c>
      <c r="B24" s="196">
        <f ca="1">Revenue!S25*'Selected Economics'!$H25</f>
        <v>348.82327844233606</v>
      </c>
      <c r="C24" s="196">
        <f ca="1">Revenue!T25*'Selected Economics'!$H25</f>
        <v>3339.0615801347039</v>
      </c>
      <c r="D24" s="196">
        <f ca="1">Revenue!U25*'Selected Economics'!$H25</f>
        <v>0</v>
      </c>
      <c r="E24" s="196">
        <f t="shared" ca="1" si="18"/>
        <v>3687.8848585770402</v>
      </c>
      <c r="F24" s="196">
        <f ca="1">Exploration!X51*'Selected Economics'!$H25</f>
        <v>0</v>
      </c>
      <c r="G24" s="196"/>
      <c r="H24" s="196">
        <f ca="1">Development!CC106*'Selected Economics'!$H25</f>
        <v>0</v>
      </c>
      <c r="I24" s="196">
        <f ca="1">Abandonment!K30*'Selected Economics'!$H25</f>
        <v>0</v>
      </c>
      <c r="J24" s="196">
        <f ca="1">Operations!P33</f>
        <v>456.89980930528867</v>
      </c>
      <c r="K24" s="196">
        <f t="shared" ca="1" si="8"/>
        <v>456.89980930528867</v>
      </c>
      <c r="L24" s="196">
        <f t="shared" ca="1" si="9"/>
        <v>3230.9850492717514</v>
      </c>
      <c r="M24" s="196">
        <f ca="1">Royalty!AM26*Development!$BT$89*'Selected Economics'!$H25</f>
        <v>1114.8532739194279</v>
      </c>
      <c r="N24" s="196">
        <f ca="1">'Provincial Tax'!X24*Development!$BT$89*'Selected Economics'!$H25</f>
        <v>244.88651585260595</v>
      </c>
      <c r="O24" s="196">
        <f ca="1">'Federal Tax'!X25*Development!$BT$89*'Selected Economics'!$H25</f>
        <v>261.65684258345095</v>
      </c>
      <c r="P24" s="196">
        <f t="shared" ca="1" si="10"/>
        <v>1621.3966323554848</v>
      </c>
      <c r="Q24" s="196">
        <f t="shared" ca="1" si="11"/>
        <v>1609.5884169162666</v>
      </c>
      <c r="R24" s="122"/>
      <c r="S24" s="122"/>
      <c r="T24" s="402"/>
      <c r="U24" s="402"/>
      <c r="V24" s="402"/>
      <c r="W24" s="402"/>
      <c r="X24" s="402"/>
      <c r="Y24" s="402"/>
      <c r="Z24" s="1"/>
      <c r="AA24" s="1"/>
      <c r="AB24" s="1"/>
      <c r="AC24" s="440"/>
      <c r="AD24" s="482">
        <f>IF(Thresholds!$E$1=Lists!$A$9,Exploration!U51-'Deposit Recovery'!V30,IF(Thresholds!$E$1=Lists!$A$10,Exploration!V51-'Deposit Recovery'!W30,IF(Thresholds!$E$1=Lists!$A$11,Exploration!W51-'Deposit Recovery'!X30,IF(Thresholds!$E$1=Lists!$A$12,Development!AY106,Development!BI106-Development!AY106))))</f>
        <v>0</v>
      </c>
      <c r="AE24" s="482">
        <f t="shared" ca="1" si="19"/>
        <v>0</v>
      </c>
      <c r="AF24" s="447">
        <f ca="1">AH24*IF(Input!$B$3="Real",'Selected Economics'!H25,1)</f>
        <v>0.33418282091431251</v>
      </c>
      <c r="AG24" s="449">
        <f t="shared" ca="1" si="12"/>
        <v>0.33418282091431251</v>
      </c>
      <c r="AH24" s="449">
        <f t="shared" ca="1" si="20"/>
        <v>0.33418282091431251</v>
      </c>
      <c r="AI24" s="446">
        <f t="shared" ca="1" si="20"/>
        <v>9.9999999999999337E+22</v>
      </c>
      <c r="AJ24" s="446">
        <f t="shared" ca="1" si="20"/>
        <v>316227766016.83911</v>
      </c>
      <c r="AK24" s="446">
        <f t="shared" ca="1" si="20"/>
        <v>109183006.71385694</v>
      </c>
      <c r="AL24" s="446">
        <f t="shared" ca="1" si="20"/>
        <v>1030636.6228897779</v>
      </c>
      <c r="AM24" s="446">
        <f t="shared" ca="1" si="20"/>
        <v>37697.287323098069</v>
      </c>
      <c r="AN24" s="446">
        <f t="shared" ca="1" si="20"/>
        <v>2896.3093757401043</v>
      </c>
      <c r="AO24" s="446">
        <f t="shared" ca="1" si="20"/>
        <v>355.8447973557453</v>
      </c>
      <c r="AP24" s="446">
        <f t="shared" ca="1" si="20"/>
        <v>60.446692159789258</v>
      </c>
      <c r="AQ24" s="446">
        <f t="shared" ca="1" si="20"/>
        <v>13.015628661377095</v>
      </c>
      <c r="AR24" s="446">
        <f t="shared" ca="1" si="21"/>
        <v>3.3590087986931785</v>
      </c>
      <c r="AS24" s="446">
        <f t="shared" ca="1" si="21"/>
        <v>1.0000000000000013</v>
      </c>
      <c r="AT24" s="446">
        <f t="shared" ca="1" si="21"/>
        <v>0.89187543339749109</v>
      </c>
      <c r="AU24" s="446">
        <f t="shared" ca="1" si="21"/>
        <v>0.79633907206517529</v>
      </c>
      <c r="AV24" s="446">
        <f t="shared" ca="1" si="21"/>
        <v>0.71182283500158716</v>
      </c>
      <c r="AW24" s="446">
        <f t="shared" ca="1" si="21"/>
        <v>0.63696650878824823</v>
      </c>
      <c r="AX24" s="446">
        <f t="shared" ca="1" si="21"/>
        <v>0.570588560870952</v>
      </c>
      <c r="AY24" s="446">
        <f t="shared" ca="1" si="21"/>
        <v>0.51166127587905064</v>
      </c>
      <c r="AZ24" s="446">
        <f t="shared" ca="1" si="21"/>
        <v>0.45928954195062283</v>
      </c>
      <c r="BA24" s="446">
        <f t="shared" ca="1" si="21"/>
        <v>0.41269272381570177</v>
      </c>
      <c r="BB24" s="446">
        <f t="shared" ca="1" si="22"/>
        <v>0.37118915046437401</v>
      </c>
      <c r="BC24" s="446">
        <f t="shared" ca="1" si="22"/>
        <v>0.33418282091431328</v>
      </c>
      <c r="BD24" s="446">
        <f t="shared" ca="1" si="22"/>
        <v>0.20043558868009465</v>
      </c>
      <c r="BE24" s="446">
        <f t="shared" ca="1" si="22"/>
        <v>0.12286145959970714</v>
      </c>
      <c r="BF24" s="446">
        <f t="shared" ca="1" si="22"/>
        <v>7.6830710679955866E-2</v>
      </c>
      <c r="BG24" s="446">
        <f t="shared" ca="1" si="22"/>
        <v>4.8938589549531328E-2</v>
      </c>
      <c r="BH24" s="446">
        <f t="shared" ca="1" si="22"/>
        <v>3.1707475263207024E-2</v>
      </c>
      <c r="BI24" s="446">
        <f t="shared" ca="1" si="22"/>
        <v>2.0870247034415323E-2</v>
      </c>
      <c r="BJ24" s="446">
        <f t="shared" ca="1" si="22"/>
        <v>9.439533256222158E-3</v>
      </c>
      <c r="BK24" s="446">
        <f t="shared" ca="1" si="22"/>
        <v>4.493866839778188E-3</v>
      </c>
      <c r="BL24" s="446">
        <f t="shared" ca="1" si="23"/>
        <v>2.2378831388928837E-3</v>
      </c>
      <c r="BM24" s="446">
        <f t="shared" ca="1" si="23"/>
        <v>1.159754833799426E-3</v>
      </c>
      <c r="BN24" s="446">
        <f t="shared" ca="1" si="23"/>
        <v>6.227784683214445E-4</v>
      </c>
      <c r="BO24" s="446">
        <f t="shared" ca="1" si="23"/>
        <v>3.452669830012448E-4</v>
      </c>
      <c r="BP24" s="446">
        <f t="shared" ca="1" si="23"/>
        <v>1.9700539094693516E-4</v>
      </c>
      <c r="BQ24" s="446">
        <f t="shared" ca="1" si="23"/>
        <v>1.1538229434792994E-4</v>
      </c>
      <c r="BR24" s="446">
        <f t="shared" ca="1" si="23"/>
        <v>6.9203790989654656E-5</v>
      </c>
      <c r="BS24" s="446">
        <f t="shared" ca="1" si="23"/>
        <v>4.2420005483119991E-5</v>
      </c>
      <c r="BT24" s="446">
        <f t="shared" ca="1" si="23"/>
        <v>2.6527107678309745E-5</v>
      </c>
      <c r="BU24" s="446">
        <f t="shared" ca="1" si="23"/>
        <v>1.6896879166102853E-5</v>
      </c>
      <c r="BV24" s="446">
        <f t="shared" ca="1" si="24"/>
        <v>1.0947544322714046E-5</v>
      </c>
      <c r="BW24" s="446">
        <f t="shared" ca="1" si="24"/>
        <v>7.2058072280632294E-6</v>
      </c>
      <c r="BX24" s="446">
        <f t="shared" ca="1" si="24"/>
        <v>4.8130793777593512E-6</v>
      </c>
      <c r="BY24" s="446">
        <f t="shared" ca="1" si="24"/>
        <v>3.2591591683157207E-6</v>
      </c>
      <c r="BZ24" s="446">
        <f t="shared" ca="1" si="24"/>
        <v>5.5362729035485946E-7</v>
      </c>
      <c r="CA24" s="446">
        <f t="shared" ca="1" si="24"/>
        <v>1.1920928955078122E-7</v>
      </c>
      <c r="CB24" s="446">
        <f t="shared" ca="1" si="24"/>
        <v>3.0764941356637487E-8</v>
      </c>
      <c r="CC24" s="446">
        <f t="shared" ca="1" si="24"/>
        <v>3.0607585463379627E-9</v>
      </c>
      <c r="CD24" s="446">
        <f t="shared" ca="1" si="24"/>
        <v>4.482253330665998E-10</v>
      </c>
      <c r="CE24" s="446">
        <f t="shared" ca="1" si="24"/>
        <v>8.6456066198661869E-11</v>
      </c>
      <c r="CF24" s="446">
        <f t="shared" ca="1" si="24"/>
        <v>2.0496624944189792E-11</v>
      </c>
      <c r="CG24" s="446">
        <f t="shared" ca="1" si="24"/>
        <v>5.7039871594084167E-12</v>
      </c>
      <c r="CH24" s="446">
        <f t="shared" ca="1" si="24"/>
        <v>1.8043594591898361E-12</v>
      </c>
      <c r="CI24" s="446">
        <f t="shared" ca="1" si="24"/>
        <v>6.3383298438576106E-13</v>
      </c>
    </row>
    <row r="25" spans="1:87">
      <c r="A25" s="108">
        <f>IF(OR(A24=Abandonment!$B$4,A24=""),"",'Success Cash Flow'!A24+1)</f>
        <v>2038</v>
      </c>
      <c r="B25" s="196">
        <f ca="1">Revenue!S26*'Selected Economics'!$H26</f>
        <v>305.39478027626507</v>
      </c>
      <c r="C25" s="196">
        <f ca="1">Revenue!T26*'Selected Economics'!$H26</f>
        <v>2923.3484134079317</v>
      </c>
      <c r="D25" s="196">
        <f ca="1">Revenue!U26*'Selected Economics'!$H26</f>
        <v>0</v>
      </c>
      <c r="E25" s="196">
        <f t="shared" ca="1" si="18"/>
        <v>3228.7431936841967</v>
      </c>
      <c r="F25" s="196">
        <f ca="1">Exploration!X52*'Selected Economics'!$H26</f>
        <v>0</v>
      </c>
      <c r="G25" s="196"/>
      <c r="H25" s="196">
        <f ca="1">Development!CC107*'Selected Economics'!$H26</f>
        <v>0</v>
      </c>
      <c r="I25" s="196">
        <f ca="1">Abandonment!K31*'Selected Economics'!$H26</f>
        <v>0</v>
      </c>
      <c r="J25" s="196">
        <f ca="1">Operations!P34</f>
        <v>430.29435095706208</v>
      </c>
      <c r="K25" s="196">
        <f t="shared" ca="1" si="8"/>
        <v>430.29435095706208</v>
      </c>
      <c r="L25" s="196">
        <f t="shared" ca="1" si="9"/>
        <v>2798.4488427271344</v>
      </c>
      <c r="M25" s="196">
        <f ca="1">Royalty!AM27*Development!$BT$89*'Selected Economics'!$H26</f>
        <v>964.39679267099984</v>
      </c>
      <c r="N25" s="196">
        <f ca="1">'Provincial Tax'!X25*Development!$BT$89*'Selected Economics'!$H26</f>
        <v>218.68552637979252</v>
      </c>
      <c r="O25" s="196">
        <f ca="1">'Federal Tax'!X26*Development!$BT$89*'Selected Economics'!$H26</f>
        <v>222.21966953920705</v>
      </c>
      <c r="P25" s="196">
        <f t="shared" ca="1" si="10"/>
        <v>1405.3019885899994</v>
      </c>
      <c r="Q25" s="196">
        <f t="shared" ca="1" si="11"/>
        <v>1393.1468541371351</v>
      </c>
      <c r="R25" s="122"/>
      <c r="S25" s="122"/>
      <c r="T25" s="402"/>
      <c r="U25" s="402"/>
      <c r="V25" s="402"/>
      <c r="W25" s="402"/>
      <c r="X25" s="402"/>
      <c r="Y25" s="402"/>
      <c r="Z25" s="1"/>
      <c r="AA25" s="1"/>
      <c r="AB25" s="1"/>
      <c r="AC25" s="440"/>
      <c r="AD25" s="482">
        <f>IF(Thresholds!$E$1=Lists!$A$9,Exploration!U52-'Deposit Recovery'!V31,IF(Thresholds!$E$1=Lists!$A$10,Exploration!V52-'Deposit Recovery'!W31,IF(Thresholds!$E$1=Lists!$A$11,Exploration!W52-'Deposit Recovery'!X31,IF(Thresholds!$E$1=Lists!$A$12,Development!AY107,Development!BI107-Development!AY107))))</f>
        <v>0</v>
      </c>
      <c r="AE25" s="482">
        <f t="shared" ca="1" si="19"/>
        <v>0</v>
      </c>
      <c r="AF25" s="447">
        <f ca="1">AH25*IF(Input!$B$3="Real",'Selected Economics'!H26,1)</f>
        <v>0.30380256446755688</v>
      </c>
      <c r="AG25" s="449">
        <f t="shared" ca="1" si="12"/>
        <v>0.30380256446755688</v>
      </c>
      <c r="AH25" s="449">
        <f t="shared" ca="1" si="20"/>
        <v>0.30380256446755688</v>
      </c>
      <c r="AI25" s="446">
        <f t="shared" ca="1" si="20"/>
        <v>9.999999999999958E+24</v>
      </c>
      <c r="AJ25" s="446">
        <f t="shared" ca="1" si="20"/>
        <v>3162277660168.3833</v>
      </c>
      <c r="AK25" s="446">
        <f t="shared" ca="1" si="20"/>
        <v>545915033.56928623</v>
      </c>
      <c r="AL25" s="446">
        <f t="shared" ca="1" si="20"/>
        <v>3435455.4096325985</v>
      </c>
      <c r="AM25" s="446">
        <f t="shared" ca="1" si="20"/>
        <v>94243.218307745105</v>
      </c>
      <c r="AN25" s="446">
        <f t="shared" ca="1" si="20"/>
        <v>5792.6187514802086</v>
      </c>
      <c r="AO25" s="446">
        <f t="shared" ca="1" si="20"/>
        <v>593.07466225957535</v>
      </c>
      <c r="AP25" s="446">
        <f t="shared" ca="1" si="20"/>
        <v>86.352417371127515</v>
      </c>
      <c r="AQ25" s="446">
        <f t="shared" ca="1" si="20"/>
        <v>16.269535826721377</v>
      </c>
      <c r="AR25" s="446">
        <f t="shared" ca="1" si="21"/>
        <v>3.7322319985479764</v>
      </c>
      <c r="AS25" s="446">
        <f t="shared" ca="1" si="21"/>
        <v>1.0000000000000013</v>
      </c>
      <c r="AT25" s="446">
        <f t="shared" ca="1" si="21"/>
        <v>0.88304498356187255</v>
      </c>
      <c r="AU25" s="446">
        <f t="shared" ca="1" si="21"/>
        <v>0.78072458045605442</v>
      </c>
      <c r="AV25" s="446">
        <f t="shared" ca="1" si="21"/>
        <v>0.69109013106950223</v>
      </c>
      <c r="AW25" s="446">
        <f t="shared" ca="1" si="21"/>
        <v>0.61246779691177722</v>
      </c>
      <c r="AX25" s="446">
        <f t="shared" ca="1" si="21"/>
        <v>0.54341767701995436</v>
      </c>
      <c r="AY25" s="446">
        <f t="shared" ca="1" si="21"/>
        <v>0.48269931686702905</v>
      </c>
      <c r="AZ25" s="446">
        <f t="shared" ca="1" si="21"/>
        <v>0.4292425625706755</v>
      </c>
      <c r="BA25" s="446">
        <f t="shared" ca="1" si="21"/>
        <v>0.38212289242194608</v>
      </c>
      <c r="BB25" s="446">
        <f t="shared" ca="1" si="22"/>
        <v>0.34054050501318728</v>
      </c>
      <c r="BC25" s="446">
        <f t="shared" ca="1" si="22"/>
        <v>0.3038025644675576</v>
      </c>
      <c r="BD25" s="446">
        <f t="shared" ca="1" si="22"/>
        <v>0.17429181624356058</v>
      </c>
      <c r="BE25" s="446">
        <f t="shared" ca="1" si="22"/>
        <v>0.10238454966642262</v>
      </c>
      <c r="BF25" s="446">
        <f t="shared" ca="1" si="22"/>
        <v>6.1464568543964683E-2</v>
      </c>
      <c r="BG25" s="446">
        <f t="shared" ca="1" si="22"/>
        <v>3.7645068884254874E-2</v>
      </c>
      <c r="BH25" s="446">
        <f t="shared" ca="1" si="22"/>
        <v>2.3487018713486678E-2</v>
      </c>
      <c r="BI25" s="446">
        <f t="shared" ca="1" si="22"/>
        <v>1.490731931029666E-2</v>
      </c>
      <c r="BJ25" s="446">
        <f t="shared" ca="1" si="22"/>
        <v>6.2930221708147709E-3</v>
      </c>
      <c r="BK25" s="446">
        <f t="shared" ca="1" si="22"/>
        <v>2.8086667748613674E-3</v>
      </c>
      <c r="BL25" s="446">
        <f t="shared" ca="1" si="23"/>
        <v>1.3164018464075786E-3</v>
      </c>
      <c r="BM25" s="446">
        <f t="shared" ca="1" si="23"/>
        <v>6.4430824099968084E-4</v>
      </c>
      <c r="BN25" s="446">
        <f t="shared" ca="1" si="23"/>
        <v>3.2777814122181303E-4</v>
      </c>
      <c r="BO25" s="446">
        <f t="shared" ca="1" si="23"/>
        <v>1.7263349150062254E-4</v>
      </c>
      <c r="BP25" s="446">
        <f t="shared" ca="1" si="23"/>
        <v>9.3812090927112115E-5</v>
      </c>
      <c r="BQ25" s="446">
        <f t="shared" ca="1" si="23"/>
        <v>5.2446497430877297E-5</v>
      </c>
      <c r="BR25" s="446">
        <f t="shared" ca="1" si="23"/>
        <v>3.0088604778110696E-5</v>
      </c>
      <c r="BS25" s="446">
        <f t="shared" ca="1" si="23"/>
        <v>1.7675002284633358E-5</v>
      </c>
      <c r="BT25" s="446">
        <f t="shared" ca="1" si="23"/>
        <v>1.0610843071323889E-5</v>
      </c>
      <c r="BU25" s="446">
        <f t="shared" ca="1" si="23"/>
        <v>6.4987996792703261E-6</v>
      </c>
      <c r="BV25" s="446">
        <f t="shared" ca="1" si="24"/>
        <v>4.0546460454496434E-6</v>
      </c>
      <c r="BW25" s="446">
        <f t="shared" ca="1" si="24"/>
        <v>2.5735025814511504E-6</v>
      </c>
      <c r="BX25" s="446">
        <f t="shared" ca="1" si="24"/>
        <v>1.6596825440549466E-6</v>
      </c>
      <c r="BY25" s="446">
        <f t="shared" ca="1" si="24"/>
        <v>1.0863863894385741E-6</v>
      </c>
      <c r="BZ25" s="446">
        <f t="shared" ca="1" si="24"/>
        <v>1.5817922581567412E-7</v>
      </c>
      <c r="CA25" s="446">
        <f t="shared" ca="1" si="24"/>
        <v>2.9802322387695299E-8</v>
      </c>
      <c r="CB25" s="446">
        <f t="shared" ca="1" si="24"/>
        <v>6.8366536348083515E-9</v>
      </c>
      <c r="CC25" s="446">
        <f t="shared" ca="1" si="24"/>
        <v>5.5650155387962955E-10</v>
      </c>
      <c r="CD25" s="446">
        <f t="shared" ca="1" si="24"/>
        <v>6.895774354870758E-11</v>
      </c>
      <c r="CE25" s="446">
        <f t="shared" ca="1" si="24"/>
        <v>1.1527475493154893E-11</v>
      </c>
      <c r="CF25" s="446">
        <f t="shared" ca="1" si="24"/>
        <v>2.4113676404929142E-12</v>
      </c>
      <c r="CG25" s="446">
        <f t="shared" ca="1" si="24"/>
        <v>6.0041970099035765E-13</v>
      </c>
      <c r="CH25" s="446">
        <f t="shared" ca="1" si="24"/>
        <v>1.7184375801807943E-13</v>
      </c>
      <c r="CI25" s="446">
        <f t="shared" ca="1" si="24"/>
        <v>5.5115911685718459E-14</v>
      </c>
    </row>
    <row r="26" spans="1:87">
      <c r="A26" s="108">
        <f>IF(OR(A25=Abandonment!$B$4,A25=""),"",'Success Cash Flow'!A25+1)</f>
        <v>2039</v>
      </c>
      <c r="B26" s="196">
        <f ca="1">Revenue!S27*'Selected Economics'!$H27</f>
        <v>267.37313013186991</v>
      </c>
      <c r="C26" s="196">
        <f ca="1">Revenue!T27*'Selected Economics'!$H27</f>
        <v>2559.3915359386438</v>
      </c>
      <c r="D26" s="196">
        <f ca="1">Revenue!U27*'Selected Economics'!$H27</f>
        <v>0</v>
      </c>
      <c r="E26" s="196">
        <f t="shared" ca="1" si="18"/>
        <v>2826.7646660705136</v>
      </c>
      <c r="F26" s="196">
        <f ca="1">Exploration!X53*'Selected Economics'!$H27</f>
        <v>0</v>
      </c>
      <c r="G26" s="196"/>
      <c r="H26" s="196">
        <f ca="1">Development!CC108*'Selected Economics'!$H27</f>
        <v>0</v>
      </c>
      <c r="I26" s="196">
        <f ca="1">Abandonment!K32*'Selected Economics'!$H27</f>
        <v>0</v>
      </c>
      <c r="J26" s="196">
        <f ca="1">Operations!P35</f>
        <v>407.90962921049828</v>
      </c>
      <c r="K26" s="196">
        <f t="shared" ca="1" si="8"/>
        <v>407.90962921049828</v>
      </c>
      <c r="L26" s="196">
        <f t="shared" ca="1" si="9"/>
        <v>2418.8550368600154</v>
      </c>
      <c r="M26" s="196">
        <f ca="1">Royalty!AM28*Development!$BT$89*'Selected Economics'!$H27</f>
        <v>832.322425878638</v>
      </c>
      <c r="N26" s="196">
        <f ca="1">'Provincial Tax'!X26*Development!$BT$89*'Selected Economics'!$H27</f>
        <v>193.86627729247425</v>
      </c>
      <c r="O26" s="196">
        <f ca="1">'Federal Tax'!X27*Development!$BT$89*'Selected Economics'!$H27</f>
        <v>198.64917984115155</v>
      </c>
      <c r="P26" s="196">
        <f t="shared" ca="1" si="10"/>
        <v>1224.8378830122638</v>
      </c>
      <c r="Q26" s="196">
        <f t="shared" ca="1" si="11"/>
        <v>1194.0171538477516</v>
      </c>
      <c r="R26" s="122"/>
      <c r="S26" s="122"/>
      <c r="T26" s="402"/>
      <c r="U26" s="402"/>
      <c r="V26" s="402"/>
      <c r="W26" s="402"/>
      <c r="X26" s="402"/>
      <c r="Y26" s="402"/>
      <c r="Z26" s="1"/>
      <c r="AA26" s="1"/>
      <c r="AB26" s="1"/>
      <c r="AC26" s="440"/>
      <c r="AD26" s="482">
        <f>IF(Thresholds!$E$1=Lists!$A$9,Exploration!U53-'Deposit Recovery'!V32,IF(Thresholds!$E$1=Lists!$A$10,Exploration!V53-'Deposit Recovery'!W32,IF(Thresholds!$E$1=Lists!$A$11,Exploration!W53-'Deposit Recovery'!X32,IF(Thresholds!$E$1=Lists!$A$12,Development!AY108,Development!BI108-Development!AY108))))</f>
        <v>0</v>
      </c>
      <c r="AE26" s="482">
        <f t="shared" ca="1" si="19"/>
        <v>0</v>
      </c>
      <c r="AF26" s="447">
        <f ca="1">AH26*IF(Input!$B$3="Real",'Selected Economics'!H27,1)</f>
        <v>0.27618414951596076</v>
      </c>
      <c r="AG26" s="449">
        <f t="shared" ca="1" si="12"/>
        <v>0.27618414951596076</v>
      </c>
      <c r="AH26" s="449">
        <f t="shared" ca="1" si="20"/>
        <v>0.27618414951596076</v>
      </c>
      <c r="AI26" s="446">
        <f t="shared" ca="1" si="20"/>
        <v>9.999999999999908E+26</v>
      </c>
      <c r="AJ26" s="446">
        <f t="shared" ca="1" si="20"/>
        <v>31622776601683.871</v>
      </c>
      <c r="AK26" s="446">
        <f t="shared" ca="1" si="20"/>
        <v>2729575167.8464289</v>
      </c>
      <c r="AL26" s="446">
        <f t="shared" ca="1" si="20"/>
        <v>11451518.032108663</v>
      </c>
      <c r="AM26" s="446">
        <f t="shared" ca="1" si="20"/>
        <v>235608.04576936297</v>
      </c>
      <c r="AN26" s="446">
        <f t="shared" ca="1" si="20"/>
        <v>11585.237502960419</v>
      </c>
      <c r="AO26" s="446">
        <f t="shared" ca="1" si="20"/>
        <v>988.45777043262626</v>
      </c>
      <c r="AP26" s="446">
        <f t="shared" ca="1" si="20"/>
        <v>123.36059624446789</v>
      </c>
      <c r="AQ26" s="446">
        <f t="shared" ca="1" si="20"/>
        <v>20.336919783401719</v>
      </c>
      <c r="AR26" s="446">
        <f t="shared" ca="1" si="21"/>
        <v>4.146924442831085</v>
      </c>
      <c r="AS26" s="446">
        <f t="shared" ca="1" si="21"/>
        <v>1.0000000000000016</v>
      </c>
      <c r="AT26" s="446">
        <f t="shared" ca="1" si="21"/>
        <v>0.87430196392264625</v>
      </c>
      <c r="AU26" s="446">
        <f t="shared" ca="1" si="21"/>
        <v>0.7654162553490732</v>
      </c>
      <c r="AV26" s="446">
        <f t="shared" ca="1" si="21"/>
        <v>0.67096129230048773</v>
      </c>
      <c r="AW26" s="446">
        <f t="shared" ca="1" si="21"/>
        <v>0.5889113431844013</v>
      </c>
      <c r="AX26" s="446">
        <f t="shared" ca="1" si="21"/>
        <v>0.517540644780909</v>
      </c>
      <c r="AY26" s="446">
        <f t="shared" ca="1" si="21"/>
        <v>0.45537671402549912</v>
      </c>
      <c r="AZ26" s="446">
        <f t="shared" ca="1" si="21"/>
        <v>0.40116127343053798</v>
      </c>
      <c r="BA26" s="446">
        <f t="shared" ca="1" si="21"/>
        <v>0.35381749298328347</v>
      </c>
      <c r="BB26" s="446">
        <f t="shared" ca="1" si="22"/>
        <v>0.31242248166347453</v>
      </c>
      <c r="BC26" s="446">
        <f t="shared" ca="1" si="22"/>
        <v>0.27618414951596149</v>
      </c>
      <c r="BD26" s="446">
        <f t="shared" ca="1" si="22"/>
        <v>0.15155810108135703</v>
      </c>
      <c r="BE26" s="446">
        <f t="shared" ca="1" si="22"/>
        <v>8.5320458055352197E-2</v>
      </c>
      <c r="BF26" s="446">
        <f t="shared" ca="1" si="22"/>
        <v>4.9171654835171753E-2</v>
      </c>
      <c r="BG26" s="446">
        <f t="shared" ca="1" si="22"/>
        <v>2.8957745295580681E-2</v>
      </c>
      <c r="BH26" s="446">
        <f t="shared" ca="1" si="22"/>
        <v>1.7397791639619766E-2</v>
      </c>
      <c r="BI26" s="446">
        <f t="shared" ca="1" si="22"/>
        <v>1.064808522164047E-2</v>
      </c>
      <c r="BJ26" s="446">
        <f t="shared" ca="1" si="22"/>
        <v>4.195348113876513E-3</v>
      </c>
      <c r="BK26" s="446">
        <f t="shared" ca="1" si="22"/>
        <v>1.7554167342883559E-3</v>
      </c>
      <c r="BL26" s="446">
        <f t="shared" ca="1" si="23"/>
        <v>7.7435402729857572E-4</v>
      </c>
      <c r="BM26" s="446">
        <f t="shared" ca="1" si="23"/>
        <v>3.5794902277760054E-4</v>
      </c>
      <c r="BN26" s="446">
        <f t="shared" ca="1" si="23"/>
        <v>1.7251481116937521E-4</v>
      </c>
      <c r="BO26" s="446">
        <f t="shared" ca="1" si="23"/>
        <v>8.6316745750311254E-5</v>
      </c>
      <c r="BP26" s="446">
        <f t="shared" ca="1" si="23"/>
        <v>4.4672424251005761E-5</v>
      </c>
      <c r="BQ26" s="446">
        <f t="shared" ca="1" si="23"/>
        <v>2.3839317014035113E-5</v>
      </c>
      <c r="BR26" s="446">
        <f t="shared" ca="1" si="23"/>
        <v>1.3082002077439425E-5</v>
      </c>
      <c r="BS26" s="446">
        <f t="shared" ca="1" si="23"/>
        <v>7.3645842852638959E-6</v>
      </c>
      <c r="BT26" s="446">
        <f t="shared" ca="1" si="23"/>
        <v>4.2443372285295592E-6</v>
      </c>
      <c r="BU26" s="446">
        <f t="shared" ca="1" si="23"/>
        <v>2.4995383381808986E-6</v>
      </c>
      <c r="BV26" s="446">
        <f t="shared" ca="1" si="24"/>
        <v>1.5017207575739436E-6</v>
      </c>
      <c r="BW26" s="446">
        <f t="shared" ca="1" si="24"/>
        <v>9.1910806480398297E-7</v>
      </c>
      <c r="BX26" s="446">
        <f t="shared" ca="1" si="24"/>
        <v>5.7230432553618882E-7</v>
      </c>
      <c r="BY26" s="446">
        <f t="shared" ca="1" si="24"/>
        <v>3.621287964795243E-7</v>
      </c>
      <c r="BZ26" s="446">
        <f t="shared" ca="1" si="24"/>
        <v>4.5194064518764026E-8</v>
      </c>
      <c r="CA26" s="446">
        <f t="shared" ca="1" si="24"/>
        <v>7.4505805969238232E-9</v>
      </c>
      <c r="CB26" s="446">
        <f t="shared" ca="1" si="24"/>
        <v>1.519256363290744E-9</v>
      </c>
      <c r="CC26" s="446">
        <f t="shared" ca="1" si="24"/>
        <v>1.0118210070538718E-10</v>
      </c>
      <c r="CD26" s="446">
        <f t="shared" ca="1" si="24"/>
        <v>1.0608883622878114E-11</v>
      </c>
      <c r="CE26" s="446">
        <f t="shared" ca="1" si="24"/>
        <v>1.5369967324206544E-12</v>
      </c>
      <c r="CF26" s="446">
        <f t="shared" ca="1" si="24"/>
        <v>2.8369031064622499E-13</v>
      </c>
      <c r="CG26" s="446">
        <f t="shared" ca="1" si="24"/>
        <v>6.320207378845871E-14</v>
      </c>
      <c r="CH26" s="446">
        <f t="shared" ca="1" si="24"/>
        <v>1.6366072192198078E-14</v>
      </c>
      <c r="CI26" s="446">
        <f t="shared" ca="1" si="24"/>
        <v>4.7926879726711617E-15</v>
      </c>
    </row>
    <row r="27" spans="1:87">
      <c r="A27" s="108">
        <f>IF(OR(A26=Abandonment!$B$4,A26=""),"",'Success Cash Flow'!A26+1)</f>
        <v>2040</v>
      </c>
      <c r="B27" s="196">
        <f ca="1">Revenue!S28*'Selected Economics'!$H28</f>
        <v>234.67567010219025</v>
      </c>
      <c r="C27" s="196">
        <f ca="1">Revenue!T28*'Selected Economics'!$H28</f>
        <v>2246.3997165834971</v>
      </c>
      <c r="D27" s="196">
        <f ca="1">Revenue!U28*'Selected Economics'!$H28</f>
        <v>0</v>
      </c>
      <c r="E27" s="196">
        <f t="shared" ca="1" si="18"/>
        <v>2481.0753866856876</v>
      </c>
      <c r="F27" s="196">
        <f ca="1">Exploration!X54*'Selected Economics'!$H28</f>
        <v>0</v>
      </c>
      <c r="G27" s="196"/>
      <c r="H27" s="196">
        <f ca="1">Development!CC109*'Selected Economics'!$H28</f>
        <v>0</v>
      </c>
      <c r="I27" s="196">
        <f ca="1">Abandonment!K33*'Selected Economics'!$H28</f>
        <v>0</v>
      </c>
      <c r="J27" s="196">
        <f ca="1">Operations!P36</f>
        <v>389.40653100372413</v>
      </c>
      <c r="K27" s="196">
        <f t="shared" ca="1" si="8"/>
        <v>389.40653100372413</v>
      </c>
      <c r="L27" s="196">
        <f t="shared" ca="1" si="9"/>
        <v>2091.6688556819636</v>
      </c>
      <c r="M27" s="196">
        <f ca="1">Royalty!AM29*Development!$BT$89*'Selected Economics'!$H28</f>
        <v>718.45487090355675</v>
      </c>
      <c r="N27" s="196">
        <f ca="1">'Provincial Tax'!X27*Development!$BT$89*'Selected Economics'!$H28</f>
        <v>171.28286424357981</v>
      </c>
      <c r="O27" s="196">
        <f ca="1">'Federal Tax'!X28*Development!$BT$89*'Selected Economics'!$H28</f>
        <v>168.06003092829633</v>
      </c>
      <c r="P27" s="196">
        <f t="shared" ca="1" si="10"/>
        <v>1057.7977660754329</v>
      </c>
      <c r="Q27" s="196">
        <f t="shared" ca="1" si="11"/>
        <v>1033.8710896065306</v>
      </c>
      <c r="R27" s="122"/>
      <c r="S27" s="122"/>
      <c r="T27" s="402"/>
      <c r="U27" s="402"/>
      <c r="V27" s="402"/>
      <c r="W27" s="402"/>
      <c r="X27" s="402"/>
      <c r="Y27" s="402"/>
      <c r="Z27" s="1"/>
      <c r="AA27" s="1"/>
      <c r="AB27" s="1"/>
      <c r="AC27" s="440"/>
      <c r="AD27" s="482">
        <f>IF(Thresholds!$E$1=Lists!$A$9,Exploration!U54-'Deposit Recovery'!V33,IF(Thresholds!$E$1=Lists!$A$10,Exploration!V54-'Deposit Recovery'!W33,IF(Thresholds!$E$1=Lists!$A$11,Exploration!W54-'Deposit Recovery'!X33,IF(Thresholds!$E$1=Lists!$A$12,Development!AY109,Development!BI109-Development!AY109))))</f>
        <v>0</v>
      </c>
      <c r="AE27" s="482">
        <f t="shared" ca="1" si="19"/>
        <v>0</v>
      </c>
      <c r="AF27" s="447">
        <f ca="1">AH27*IF(Input!$B$3="Real",'Selected Economics'!H28,1)</f>
        <v>0.25107649955996431</v>
      </c>
      <c r="AG27" s="449">
        <f t="shared" ca="1" si="12"/>
        <v>0.25107649955996431</v>
      </c>
      <c r="AH27" s="449">
        <f t="shared" ref="AH27:AQ36" ca="1" si="25">IF(OR($A27="",$A27&lt;$AH$2-1),0,IF($A27=$AH$2-1,AH$7,1/(1+AH$6)^($A27-$AH$2+0.5+$AJ$1)))</f>
        <v>0.25107649955996431</v>
      </c>
      <c r="AI27" s="446">
        <f t="shared" ca="1" si="25"/>
        <v>9.9999999999999288E+28</v>
      </c>
      <c r="AJ27" s="446">
        <f t="shared" ca="1" si="25"/>
        <v>316227766016839.06</v>
      </c>
      <c r="AK27" s="446">
        <f t="shared" ca="1" si="25"/>
        <v>13647875839.232134</v>
      </c>
      <c r="AL27" s="446">
        <f t="shared" ca="1" si="25"/>
        <v>38171726.773695536</v>
      </c>
      <c r="AM27" s="446">
        <f t="shared" ca="1" si="25"/>
        <v>589020.11442340794</v>
      </c>
      <c r="AN27" s="446">
        <f t="shared" ca="1" si="25"/>
        <v>23170.475005920838</v>
      </c>
      <c r="AO27" s="446">
        <f t="shared" ca="1" si="25"/>
        <v>1647.4296173877101</v>
      </c>
      <c r="AP27" s="446">
        <f t="shared" ca="1" si="25"/>
        <v>176.22942320638271</v>
      </c>
      <c r="AQ27" s="446">
        <f t="shared" ca="1" si="25"/>
        <v>25.421149729252161</v>
      </c>
      <c r="AR27" s="446">
        <f t="shared" ref="AR27:BA36" ca="1" si="26">IF(OR($A27="",$A27&lt;$AH$2-1),0,IF($A27=$AH$2-1,AR$7,1/(1+AR$6)^($A27-$AH$2+0.5+$AJ$1)))</f>
        <v>4.607693825367873</v>
      </c>
      <c r="AS27" s="446">
        <f t="shared" ca="1" si="26"/>
        <v>1.0000000000000016</v>
      </c>
      <c r="AT27" s="446">
        <f t="shared" ca="1" si="26"/>
        <v>0.86564550883430347</v>
      </c>
      <c r="AU27" s="446">
        <f t="shared" ca="1" si="26"/>
        <v>0.75040809347948367</v>
      </c>
      <c r="AV27" s="446">
        <f t="shared" ca="1" si="26"/>
        <v>0.65141873038882314</v>
      </c>
      <c r="AW27" s="446">
        <f t="shared" ca="1" si="26"/>
        <v>0.56626090690807829</v>
      </c>
      <c r="AX27" s="446">
        <f t="shared" ca="1" si="26"/>
        <v>0.49289585217229442</v>
      </c>
      <c r="AY27" s="446">
        <f t="shared" ca="1" si="26"/>
        <v>0.42960067360896159</v>
      </c>
      <c r="AZ27" s="446">
        <f t="shared" ca="1" si="26"/>
        <v>0.37491707797246543</v>
      </c>
      <c r="BA27" s="446">
        <f t="shared" ca="1" si="26"/>
        <v>0.32760878979933655</v>
      </c>
      <c r="BB27" s="446">
        <f t="shared" ref="BB27:BK36" ca="1" si="27">IF(OR($A27="",$A27&lt;$AH$2-1),0,IF($A27=$AH$2-1,BB$7,1/(1+BB$6)^($A27-$AH$2+0.5+$AJ$1)))</f>
        <v>0.28662612996649045</v>
      </c>
      <c r="BC27" s="446">
        <f t="shared" ca="1" si="27"/>
        <v>0.25107649955996503</v>
      </c>
      <c r="BD27" s="446">
        <f t="shared" ca="1" si="27"/>
        <v>0.13178965311422353</v>
      </c>
      <c r="BE27" s="446">
        <f t="shared" ca="1" si="27"/>
        <v>7.1100381712793509E-2</v>
      </c>
      <c r="BF27" s="446">
        <f t="shared" ca="1" si="27"/>
        <v>3.9337323868137423E-2</v>
      </c>
      <c r="BG27" s="446">
        <f t="shared" ca="1" si="27"/>
        <v>2.227518868890822E-2</v>
      </c>
      <c r="BH27" s="446">
        <f t="shared" ca="1" si="27"/>
        <v>1.2887253066385015E-2</v>
      </c>
      <c r="BI27" s="446">
        <f t="shared" ca="1" si="27"/>
        <v>7.6057751583146213E-3</v>
      </c>
      <c r="BJ27" s="446">
        <f t="shared" ca="1" si="27"/>
        <v>2.7968987425843438E-3</v>
      </c>
      <c r="BK27" s="446">
        <f t="shared" ca="1" si="27"/>
        <v>1.0971354589302223E-3</v>
      </c>
      <c r="BL27" s="446">
        <f t="shared" ref="BL27:BU36" ca="1" si="28">IF(OR($A27="",$A27&lt;$AH$2-1),0,IF($A27=$AH$2-1,BL$7,1/(1+BL$6)^($A27-$AH$2+0.5+$AJ$1)))</f>
        <v>4.5550236899916232E-4</v>
      </c>
      <c r="BM27" s="446">
        <f t="shared" ca="1" si="28"/>
        <v>1.9886056820977798E-4</v>
      </c>
      <c r="BN27" s="446">
        <f t="shared" ca="1" si="28"/>
        <v>9.0797269036513233E-5</v>
      </c>
      <c r="BO27" s="446">
        <f t="shared" ca="1" si="28"/>
        <v>4.3158372875155627E-5</v>
      </c>
      <c r="BP27" s="446">
        <f t="shared" ca="1" si="28"/>
        <v>2.1272582976669403E-5</v>
      </c>
      <c r="BQ27" s="446">
        <f t="shared" ca="1" si="28"/>
        <v>1.0836053188197789E-5</v>
      </c>
      <c r="BR27" s="446">
        <f t="shared" ca="1" si="28"/>
        <v>5.68782699019106E-6</v>
      </c>
      <c r="BS27" s="446">
        <f t="shared" ca="1" si="28"/>
        <v>3.0685767855266221E-6</v>
      </c>
      <c r="BT27" s="446">
        <f t="shared" ca="1" si="28"/>
        <v>1.6977348914118222E-6</v>
      </c>
      <c r="BU27" s="446">
        <f t="shared" ca="1" si="28"/>
        <v>9.6136089930034534E-7</v>
      </c>
      <c r="BV27" s="446">
        <f t="shared" ref="BV27:CG36" ca="1" si="29">IF(OR($A27="",$A27&lt;$AH$2-1),0,IF($A27=$AH$2-1,BV$7,1/(1+BV$6)^($A27-$AH$2+0.5+$AJ$1)))</f>
        <v>5.5619287317553429E-7</v>
      </c>
      <c r="BW27" s="446">
        <f t="shared" ca="1" si="29"/>
        <v>3.282528802871365E-7</v>
      </c>
      <c r="BX27" s="446">
        <f t="shared" ca="1" si="29"/>
        <v>1.9734631915041007E-7</v>
      </c>
      <c r="BY27" s="446">
        <f t="shared" ca="1" si="29"/>
        <v>1.2070959882650817E-7</v>
      </c>
      <c r="BZ27" s="446">
        <f t="shared" ca="1" si="29"/>
        <v>1.2912589862504008E-8</v>
      </c>
      <c r="CA27" s="446">
        <f t="shared" ca="1" si="29"/>
        <v>1.8626451492309558E-9</v>
      </c>
      <c r="CB27" s="446">
        <f t="shared" ca="1" si="29"/>
        <v>3.3761252517572068E-10</v>
      </c>
      <c r="CC27" s="446">
        <f t="shared" ca="1" si="29"/>
        <v>1.8396745582797669E-11</v>
      </c>
      <c r="CD27" s="446">
        <f t="shared" ca="1" si="29"/>
        <v>1.6321359419812464E-12</v>
      </c>
      <c r="CE27" s="446">
        <f t="shared" ca="1" si="29"/>
        <v>2.0493289765608753E-13</v>
      </c>
      <c r="CF27" s="446">
        <f t="shared" ca="1" si="29"/>
        <v>3.3375330664261846E-14</v>
      </c>
      <c r="CG27" s="446">
        <f t="shared" ca="1" si="29"/>
        <v>6.6528498724693642E-15</v>
      </c>
      <c r="CH27" s="446"/>
      <c r="CI27" s="446"/>
    </row>
    <row r="28" spans="1:87">
      <c r="A28" s="108">
        <f>IF(OR(A27=Abandonment!$B$4,A27=""),"",'Success Cash Flow'!A27+1)</f>
        <v>2041</v>
      </c>
      <c r="B28" s="196">
        <f ca="1">Revenue!S29*'Selected Economics'!$H29</f>
        <v>204.85033966257731</v>
      </c>
      <c r="C28" s="196">
        <f ca="1">Revenue!T29*'Selected Economics'!$H29</f>
        <v>1960.9009521935609</v>
      </c>
      <c r="D28" s="196">
        <f ca="1">Revenue!U29*'Selected Economics'!$H29</f>
        <v>0</v>
      </c>
      <c r="E28" s="196">
        <f t="shared" ca="1" si="18"/>
        <v>2165.7512918561383</v>
      </c>
      <c r="F28" s="196">
        <f ca="1">Exploration!X55*'Selected Economics'!$H29</f>
        <v>0</v>
      </c>
      <c r="G28" s="196"/>
      <c r="H28" s="196">
        <f ca="1">Development!CC110*'Selected Economics'!$H29</f>
        <v>0</v>
      </c>
      <c r="I28" s="196">
        <f ca="1">Abandonment!K34*'Selected Economics'!$H29</f>
        <v>0</v>
      </c>
      <c r="J28" s="196">
        <f ca="1">Operations!P37</f>
        <v>373.80407713396335</v>
      </c>
      <c r="K28" s="196">
        <f t="shared" ca="1" si="8"/>
        <v>373.80407713396335</v>
      </c>
      <c r="L28" s="196">
        <f t="shared" ca="1" si="9"/>
        <v>1791.947214722175</v>
      </c>
      <c r="M28" s="196">
        <f ca="1">Royalty!AM30*Development!$BT$89*'Selected Economics'!$H29</f>
        <v>614.09838245307242</v>
      </c>
      <c r="N28" s="196">
        <f ca="1">'Provincial Tax'!X28*Development!$BT$89*'Selected Economics'!$H29</f>
        <v>149.32690208943083</v>
      </c>
      <c r="O28" s="196">
        <f ca="1">'Federal Tax'!X29*Development!$BT$89*'Selected Economics'!$H29</f>
        <v>148.40011666773572</v>
      </c>
      <c r="P28" s="196">
        <f t="shared" ca="1" si="10"/>
        <v>911.82540121023897</v>
      </c>
      <c r="Q28" s="196">
        <f t="shared" ca="1" si="11"/>
        <v>880.12181351193601</v>
      </c>
      <c r="R28" s="122"/>
      <c r="S28" s="122"/>
      <c r="T28" s="402"/>
      <c r="U28" s="402"/>
      <c r="V28" s="402"/>
      <c r="W28" s="402"/>
      <c r="X28" s="402"/>
      <c r="Y28" s="402"/>
      <c r="Z28" s="1"/>
      <c r="AA28" s="1"/>
      <c r="AB28" s="1"/>
      <c r="AC28" s="440"/>
      <c r="AD28" s="482">
        <f>IF(Thresholds!$E$1=Lists!$A$9,Exploration!U55-'Deposit Recovery'!V34,IF(Thresholds!$E$1=Lists!$A$10,Exploration!V55-'Deposit Recovery'!W34,IF(Thresholds!$E$1=Lists!$A$11,Exploration!W55-'Deposit Recovery'!X34,IF(Thresholds!$E$1=Lists!$A$12,Development!AY110,Development!BI110-Development!AY110))))</f>
        <v>0</v>
      </c>
      <c r="AE28" s="482">
        <f t="shared" ca="1" si="19"/>
        <v>0</v>
      </c>
      <c r="AF28" s="447">
        <f ca="1">AH28*IF(Input!$B$3="Real",'Selected Economics'!H29,1)</f>
        <v>0.22825136323633116</v>
      </c>
      <c r="AG28" s="449">
        <f t="shared" ca="1" si="12"/>
        <v>0.22825136323633116</v>
      </c>
      <c r="AH28" s="449">
        <f t="shared" ca="1" si="25"/>
        <v>0.22825136323633116</v>
      </c>
      <c r="AI28" s="446">
        <f t="shared" ca="1" si="25"/>
        <v>9.9999999999998814E+30</v>
      </c>
      <c r="AJ28" s="446">
        <f t="shared" ca="1" si="25"/>
        <v>3162277660168383</v>
      </c>
      <c r="AK28" s="446">
        <f t="shared" ca="1" si="25"/>
        <v>68239379196.160622</v>
      </c>
      <c r="AL28" s="446">
        <f t="shared" ca="1" si="25"/>
        <v>127239089.24565177</v>
      </c>
      <c r="AM28" s="446">
        <f t="shared" ca="1" si="25"/>
        <v>1472550.2860585186</v>
      </c>
      <c r="AN28" s="446">
        <f t="shared" ca="1" si="25"/>
        <v>46340.950011841684</v>
      </c>
      <c r="AO28" s="446">
        <f t="shared" ca="1" si="25"/>
        <v>2745.7160289795193</v>
      </c>
      <c r="AP28" s="446">
        <f t="shared" ca="1" si="25"/>
        <v>251.75631886626101</v>
      </c>
      <c r="AQ28" s="446">
        <f t="shared" ca="1" si="25"/>
        <v>31.776437161565216</v>
      </c>
      <c r="AR28" s="446">
        <f t="shared" ca="1" si="26"/>
        <v>5.1196598059643037</v>
      </c>
      <c r="AS28" s="446">
        <f t="shared" ca="1" si="26"/>
        <v>1.0000000000000018</v>
      </c>
      <c r="AT28" s="446">
        <f t="shared" ca="1" si="26"/>
        <v>0.85707476122208281</v>
      </c>
      <c r="AU28" s="446">
        <f t="shared" ca="1" si="26"/>
        <v>0.73569420929361151</v>
      </c>
      <c r="AV28" s="446">
        <f t="shared" ca="1" si="26"/>
        <v>0.6324453693095371</v>
      </c>
      <c r="AW28" s="446">
        <f t="shared" ca="1" si="26"/>
        <v>0.54448164125776766</v>
      </c>
      <c r="AX28" s="446">
        <f t="shared" ca="1" si="26"/>
        <v>0.46942462111647093</v>
      </c>
      <c r="AY28" s="446">
        <f t="shared" ca="1" si="26"/>
        <v>0.40528365434807695</v>
      </c>
      <c r="AZ28" s="446">
        <f t="shared" ca="1" si="26"/>
        <v>0.35038979249763136</v>
      </c>
      <c r="BA28" s="446">
        <f t="shared" ca="1" si="26"/>
        <v>0.30334147203642281</v>
      </c>
      <c r="BB28" s="446">
        <f t="shared" ca="1" si="27"/>
        <v>0.2629597522628353</v>
      </c>
      <c r="BC28" s="446">
        <f t="shared" ca="1" si="27"/>
        <v>0.22825136323633186</v>
      </c>
      <c r="BD28" s="446">
        <f t="shared" ca="1" si="27"/>
        <v>0.11459969836019435</v>
      </c>
      <c r="BE28" s="446">
        <f t="shared" ca="1" si="27"/>
        <v>5.9250318093994607E-2</v>
      </c>
      <c r="BF28" s="446">
        <f t="shared" ca="1" si="27"/>
        <v>3.1469859094509944E-2</v>
      </c>
      <c r="BG28" s="446">
        <f t="shared" ca="1" si="27"/>
        <v>1.7134760529929405E-2</v>
      </c>
      <c r="BH28" s="446">
        <f t="shared" ca="1" si="27"/>
        <v>9.5461133825074217E-3</v>
      </c>
      <c r="BI28" s="446">
        <f t="shared" ca="1" si="27"/>
        <v>5.4326965416533011E-3</v>
      </c>
      <c r="BJ28" s="446">
        <f t="shared" ca="1" si="27"/>
        <v>1.8645991617228955E-3</v>
      </c>
      <c r="BK28" s="446">
        <f t="shared" ca="1" si="27"/>
        <v>6.857096618313888E-4</v>
      </c>
      <c r="BL28" s="446">
        <f t="shared" ca="1" si="28"/>
        <v>2.6794256999950703E-4</v>
      </c>
      <c r="BM28" s="446">
        <f t="shared" ca="1" si="28"/>
        <v>1.1047809344987671E-4</v>
      </c>
      <c r="BN28" s="446">
        <f t="shared" ca="1" si="28"/>
        <v>4.7788036335007015E-5</v>
      </c>
      <c r="BO28" s="446">
        <f t="shared" ca="1" si="28"/>
        <v>2.157918643757781E-5</v>
      </c>
      <c r="BP28" s="446">
        <f t="shared" ca="1" si="28"/>
        <v>1.0129801417461618E-5</v>
      </c>
      <c r="BQ28" s="446">
        <f t="shared" ca="1" si="28"/>
        <v>4.9254787219080819E-6</v>
      </c>
      <c r="BR28" s="446">
        <f t="shared" ca="1" si="28"/>
        <v>2.4729682566048073E-6</v>
      </c>
      <c r="BS28" s="446">
        <f t="shared" ca="1" si="28"/>
        <v>1.278573660636092E-6</v>
      </c>
      <c r="BT28" s="446">
        <f t="shared" ca="1" si="28"/>
        <v>6.7909395656472944E-7</v>
      </c>
      <c r="BU28" s="446">
        <f t="shared" ca="1" si="28"/>
        <v>3.6975419203859421E-7</v>
      </c>
      <c r="BV28" s="446">
        <f t="shared" ca="1" si="29"/>
        <v>2.059973604353829E-7</v>
      </c>
      <c r="BW28" s="446">
        <f t="shared" ca="1" si="29"/>
        <v>1.1723317153112027E-7</v>
      </c>
      <c r="BX28" s="446">
        <f t="shared" ca="1" si="29"/>
        <v>6.805045487945178E-8</v>
      </c>
      <c r="BY28" s="446">
        <f t="shared" ca="1" si="29"/>
        <v>4.023653294216934E-8</v>
      </c>
      <c r="BZ28" s="446">
        <f t="shared" ca="1" si="29"/>
        <v>3.6893113892868588E-9</v>
      </c>
      <c r="CA28" s="446">
        <f t="shared" ca="1" si="29"/>
        <v>4.6566128730773884E-10</v>
      </c>
      <c r="CB28" s="446">
        <f t="shared" ca="1" si="29"/>
        <v>7.5025005594604557E-11</v>
      </c>
      <c r="CC28" s="446">
        <f t="shared" ca="1" si="29"/>
        <v>3.3448628332359396E-12</v>
      </c>
      <c r="CD28" s="446">
        <f t="shared" ca="1" si="29"/>
        <v>2.510978372278837E-13</v>
      </c>
      <c r="CE28" s="446">
        <f t="shared" ca="1" si="29"/>
        <v>2.7324386354144948E-14</v>
      </c>
      <c r="CF28" s="446">
        <f t="shared" ca="1" si="29"/>
        <v>3.9265094899131552E-15</v>
      </c>
      <c r="CG28" s="446">
        <f t="shared" ca="1" si="29"/>
        <v>7.002999865757228E-16</v>
      </c>
      <c r="CH28" s="446"/>
      <c r="CI28" s="446"/>
    </row>
    <row r="29" spans="1:87">
      <c r="A29" s="108">
        <f>IF(OR(A28=Abandonment!$B$4,A28=""),"",'Success Cash Flow'!A28+1)</f>
        <v>2042</v>
      </c>
      <c r="B29" s="196">
        <f ca="1">Revenue!S30*'Selected Economics'!$H30</f>
        <v>179.34647237458674</v>
      </c>
      <c r="C29" s="196">
        <f ca="1">Revenue!T30*'Selected Economics'!$H30</f>
        <v>1716.768783645465</v>
      </c>
      <c r="D29" s="196">
        <f ca="1">Revenue!U30*'Selected Economics'!$H30</f>
        <v>0</v>
      </c>
      <c r="E29" s="196">
        <f t="shared" ca="1" si="18"/>
        <v>1896.1152560200517</v>
      </c>
      <c r="F29" s="196">
        <f ca="1">Exploration!X56*'Selected Economics'!$H30</f>
        <v>0</v>
      </c>
      <c r="G29" s="196"/>
      <c r="H29" s="196">
        <f ca="1">Development!CC111*'Selected Economics'!$H30</f>
        <v>0</v>
      </c>
      <c r="I29" s="196">
        <f ca="1">Abandonment!K35*'Selected Economics'!$H30</f>
        <v>0</v>
      </c>
      <c r="J29" s="196">
        <f ca="1">Operations!P38</f>
        <v>361.34426446799074</v>
      </c>
      <c r="K29" s="196">
        <f t="shared" ca="1" si="8"/>
        <v>361.34426446799074</v>
      </c>
      <c r="L29" s="196">
        <f t="shared" ca="1" si="9"/>
        <v>1534.7709915520609</v>
      </c>
      <c r="M29" s="196">
        <f ca="1">Royalty!AM31*Development!$BT$89*'Selected Economics'!$H30</f>
        <v>524.52279778684158</v>
      </c>
      <c r="N29" s="196">
        <f ca="1">'Provincial Tax'!X29*Development!$BT$89*'Selected Economics'!$H30</f>
        <v>129.86316635951107</v>
      </c>
      <c r="O29" s="196">
        <f ca="1">'Federal Tax'!X30*Development!$BT$89*'Selected Economics'!$H30</f>
        <v>123.95025695077251</v>
      </c>
      <c r="P29" s="196">
        <f t="shared" ca="1" si="10"/>
        <v>778.33622109712519</v>
      </c>
      <c r="Q29" s="196">
        <f t="shared" ca="1" si="11"/>
        <v>756.43477045493569</v>
      </c>
      <c r="R29" s="122"/>
      <c r="S29" s="122"/>
      <c r="T29" s="402"/>
      <c r="U29" s="402"/>
      <c r="V29" s="402"/>
      <c r="W29" s="402"/>
      <c r="X29" s="402"/>
      <c r="Y29" s="402"/>
      <c r="Z29" s="1"/>
      <c r="AA29" s="1"/>
      <c r="AB29" s="1"/>
      <c r="AC29" s="440"/>
      <c r="AD29" s="482">
        <f>IF(Thresholds!$E$1=Lists!$A$9,Exploration!U56-'Deposit Recovery'!V35,IF(Thresholds!$E$1=Lists!$A$10,Exploration!V56-'Deposit Recovery'!W35,IF(Thresholds!$E$1=Lists!$A$11,Exploration!W56-'Deposit Recovery'!X35,IF(Thresholds!$E$1=Lists!$A$12,Development!AY111,Development!BI111-Development!AY111))))</f>
        <v>0</v>
      </c>
      <c r="AE29" s="482">
        <f t="shared" ca="1" si="19"/>
        <v>0</v>
      </c>
      <c r="AF29" s="447">
        <f ca="1">AH29*IF(Input!$B$3="Real",'Selected Economics'!H30,1)</f>
        <v>0.20750123930575562</v>
      </c>
      <c r="AG29" s="449">
        <f t="shared" ca="1" si="12"/>
        <v>0.20750123930575562</v>
      </c>
      <c r="AH29" s="449">
        <f t="shared" ca="1" si="25"/>
        <v>0.20750123930575562</v>
      </c>
      <c r="AI29" s="446">
        <f t="shared" ca="1" si="25"/>
        <v>9.9999999999999735E+32</v>
      </c>
      <c r="AJ29" s="446">
        <f t="shared" ca="1" si="25"/>
        <v>3.1622776601683976E+16</v>
      </c>
      <c r="AK29" s="446">
        <f t="shared" ca="1" si="25"/>
        <v>341196895980.80408</v>
      </c>
      <c r="AL29" s="446">
        <f t="shared" ca="1" si="25"/>
        <v>424130297.48550588</v>
      </c>
      <c r="AM29" s="446">
        <f t="shared" ca="1" si="25"/>
        <v>3681375.7151462999</v>
      </c>
      <c r="AN29" s="446">
        <f t="shared" ca="1" si="25"/>
        <v>92681.900023683542</v>
      </c>
      <c r="AO29" s="446">
        <f t="shared" ca="1" si="25"/>
        <v>4576.1933816325345</v>
      </c>
      <c r="AP29" s="446">
        <f t="shared" ca="1" si="25"/>
        <v>359.65188409465895</v>
      </c>
      <c r="AQ29" s="446">
        <f t="shared" ca="1" si="25"/>
        <v>39.720546451956508</v>
      </c>
      <c r="AR29" s="446">
        <f t="shared" ca="1" si="26"/>
        <v>5.6885108955158934</v>
      </c>
      <c r="AS29" s="446">
        <f t="shared" ca="1" si="26"/>
        <v>1.0000000000000018</v>
      </c>
      <c r="AT29" s="446">
        <f t="shared" ca="1" si="26"/>
        <v>0.84858887249711179</v>
      </c>
      <c r="AU29" s="446">
        <f t="shared" ca="1" si="26"/>
        <v>0.72126883264079578</v>
      </c>
      <c r="AV29" s="446">
        <f t="shared" ca="1" si="26"/>
        <v>0.61402463039760902</v>
      </c>
      <c r="AW29" s="446">
        <f t="shared" ca="1" si="26"/>
        <v>0.52354003967093055</v>
      </c>
      <c r="AX29" s="446">
        <f t="shared" ca="1" si="26"/>
        <v>0.44707106772997235</v>
      </c>
      <c r="AY29" s="446">
        <f t="shared" ca="1" si="26"/>
        <v>0.38234307013969532</v>
      </c>
      <c r="AZ29" s="446">
        <f t="shared" ca="1" si="26"/>
        <v>0.32746709579217881</v>
      </c>
      <c r="BA29" s="446">
        <f t="shared" ca="1" si="26"/>
        <v>0.28087173336705823</v>
      </c>
      <c r="BB29" s="446">
        <f t="shared" ca="1" si="27"/>
        <v>0.24124747914021594</v>
      </c>
      <c r="BC29" s="446">
        <f t="shared" ca="1" si="27"/>
        <v>0.20750123930575629</v>
      </c>
      <c r="BD29" s="446">
        <f t="shared" ca="1" si="27"/>
        <v>9.9651911617560346E-2</v>
      </c>
      <c r="BE29" s="446">
        <f t="shared" ca="1" si="27"/>
        <v>4.9375265078328866E-2</v>
      </c>
      <c r="BF29" s="446">
        <f t="shared" ca="1" si="27"/>
        <v>2.5175887275607951E-2</v>
      </c>
      <c r="BG29" s="446">
        <f t="shared" ca="1" si="27"/>
        <v>1.3180585023022617E-2</v>
      </c>
      <c r="BH29" s="446">
        <f t="shared" ca="1" si="27"/>
        <v>7.0711950981536412E-3</v>
      </c>
      <c r="BI29" s="446">
        <f t="shared" ca="1" si="27"/>
        <v>3.880497529752361E-3</v>
      </c>
      <c r="BJ29" s="446">
        <f t="shared" ca="1" si="27"/>
        <v>1.2430661078152647E-3</v>
      </c>
      <c r="BK29" s="446">
        <f t="shared" ca="1" si="27"/>
        <v>4.2856853864461838E-4</v>
      </c>
      <c r="BL29" s="446">
        <f t="shared" ca="1" si="28"/>
        <v>1.5761327647029856E-4</v>
      </c>
      <c r="BM29" s="446">
        <f t="shared" ca="1" si="28"/>
        <v>6.1376718583264862E-5</v>
      </c>
      <c r="BN29" s="446">
        <f t="shared" ca="1" si="28"/>
        <v>2.5151598071056316E-5</v>
      </c>
      <c r="BO29" s="446">
        <f t="shared" ca="1" si="28"/>
        <v>1.0789593218788924E-5</v>
      </c>
      <c r="BP29" s="446">
        <f t="shared" ca="1" si="28"/>
        <v>4.8237149606960156E-6</v>
      </c>
      <c r="BQ29" s="446">
        <f t="shared" ca="1" si="28"/>
        <v>2.2388539645036756E-6</v>
      </c>
      <c r="BR29" s="446">
        <f t="shared" ca="1" si="28"/>
        <v>1.0752035898281783E-6</v>
      </c>
      <c r="BS29" s="446">
        <f t="shared" ca="1" si="28"/>
        <v>5.3273902526503915E-7</v>
      </c>
      <c r="BT29" s="446">
        <f t="shared" ca="1" si="28"/>
        <v>2.7163758262589152E-7</v>
      </c>
      <c r="BU29" s="446">
        <f t="shared" ca="1" si="28"/>
        <v>1.4221315078407465E-7</v>
      </c>
      <c r="BV29" s="446">
        <f t="shared" ca="1" si="29"/>
        <v>7.6295318679771401E-8</v>
      </c>
      <c r="BW29" s="446">
        <f t="shared" ca="1" si="29"/>
        <v>4.1868989832542909E-8</v>
      </c>
      <c r="BX29" s="446">
        <f t="shared" ca="1" si="29"/>
        <v>2.3465674096362609E-8</v>
      </c>
      <c r="BY29" s="446">
        <f t="shared" ca="1" si="29"/>
        <v>1.3412177647389813E-8</v>
      </c>
      <c r="BZ29" s="446">
        <f t="shared" ca="1" si="29"/>
        <v>1.054088968367674E-9</v>
      </c>
      <c r="CA29" s="446">
        <f t="shared" ca="1" si="29"/>
        <v>1.164153218269351E-10</v>
      </c>
      <c r="CB29" s="446">
        <f t="shared" ca="1" si="29"/>
        <v>1.6672223465467671E-11</v>
      </c>
      <c r="CC29" s="446">
        <f t="shared" ca="1" si="29"/>
        <v>6.0815687877017081E-13</v>
      </c>
      <c r="CD29" s="446">
        <f t="shared" ca="1" si="29"/>
        <v>3.8630436496597588E-14</v>
      </c>
      <c r="CE29" s="446">
        <f t="shared" ca="1" si="29"/>
        <v>3.6432515138859982E-15</v>
      </c>
      <c r="CF29" s="446">
        <f t="shared" ca="1" si="29"/>
        <v>4.619422929309591E-16</v>
      </c>
      <c r="CG29" s="446">
        <f t="shared" ca="1" si="29"/>
        <v>7.3715788060601882E-17</v>
      </c>
      <c r="CH29" s="446"/>
      <c r="CI29" s="446"/>
    </row>
    <row r="30" spans="1:87">
      <c r="A30" s="108">
        <f>IF(OR(A29=Abandonment!$B$4,A29=""),"",'Success Cash Flow'!A29+1)</f>
        <v>2043</v>
      </c>
      <c r="B30" s="196">
        <f ca="1">Revenue!S31*'Selected Economics'!$H31</f>
        <v>157.01783656395048</v>
      </c>
      <c r="C30" s="196">
        <f ca="1">Revenue!T31*'Selected Economics'!$H31</f>
        <v>1503.0310700816028</v>
      </c>
      <c r="D30" s="196">
        <f ca="1">Revenue!U31*'Selected Economics'!$H31</f>
        <v>0</v>
      </c>
      <c r="E30" s="196">
        <f t="shared" ca="1" si="18"/>
        <v>1660.0489066455534</v>
      </c>
      <c r="F30" s="196">
        <f ca="1">Exploration!X57*'Selected Economics'!$H31</f>
        <v>0</v>
      </c>
      <c r="G30" s="196"/>
      <c r="H30" s="196">
        <f ca="1">Development!CC112*'Selected Economics'!$H31</f>
        <v>0</v>
      </c>
      <c r="I30" s="196">
        <f ca="1">Abandonment!K36*'Selected Economics'!$H31</f>
        <v>0</v>
      </c>
      <c r="J30" s="196">
        <f ca="1">Operations!P39</f>
        <v>351.45806232704751</v>
      </c>
      <c r="K30" s="196">
        <f t="shared" ca="1" si="8"/>
        <v>351.45806232704751</v>
      </c>
      <c r="L30" s="196">
        <f t="shared" ca="1" si="9"/>
        <v>1308.5908443185058</v>
      </c>
      <c r="M30" s="196">
        <f ca="1">Royalty!AM32*Development!$BT$89*'Selected Economics'!$H31</f>
        <v>445.70576333003038</v>
      </c>
      <c r="N30" s="196">
        <f ca="1">'Provincial Tax'!X30*Development!$BT$89*'Selected Economics'!$H31</f>
        <v>112.20038480016592</v>
      </c>
      <c r="O30" s="196">
        <f ca="1">'Federal Tax'!X31*Development!$BT$89*'Selected Economics'!$H31</f>
        <v>108.82306060293578</v>
      </c>
      <c r="P30" s="196">
        <f t="shared" ca="1" si="10"/>
        <v>666.72920873313205</v>
      </c>
      <c r="Q30" s="196">
        <f t="shared" ca="1" si="11"/>
        <v>641.86163558537373</v>
      </c>
      <c r="R30" s="122"/>
      <c r="S30" s="122"/>
      <c r="T30" s="402"/>
      <c r="U30" s="402"/>
      <c r="V30" s="402"/>
      <c r="W30" s="402"/>
      <c r="X30" s="402"/>
      <c r="Y30" s="402"/>
      <c r="Z30" s="1"/>
      <c r="AA30" s="1"/>
      <c r="AB30" s="1"/>
      <c r="AC30" s="440"/>
      <c r="AD30" s="482">
        <f>IF(Thresholds!$E$1=Lists!$A$9,Exploration!U57-'Deposit Recovery'!V36,IF(Thresholds!$E$1=Lists!$A$10,Exploration!V57-'Deposit Recovery'!W36,IF(Thresholds!$E$1=Lists!$A$11,Exploration!W57-'Deposit Recovery'!X36,IF(Thresholds!$E$1=Lists!$A$12,Development!AY112,Development!BI112-Development!AY112))))</f>
        <v>0</v>
      </c>
      <c r="AE30" s="482">
        <f t="shared" ca="1" si="19"/>
        <v>0</v>
      </c>
      <c r="AF30" s="447">
        <f ca="1">AH30*IF(Input!$B$3="Real",'Selected Economics'!H31,1)</f>
        <v>0.18863749027795962</v>
      </c>
      <c r="AG30" s="449">
        <f t="shared" ca="1" si="12"/>
        <v>0.18863749027795962</v>
      </c>
      <c r="AH30" s="449">
        <f t="shared" ca="1" si="25"/>
        <v>0.18863749027795962</v>
      </c>
      <c r="AI30" s="446">
        <f t="shared" ca="1" si="25"/>
        <v>9.9999999999999259E+34</v>
      </c>
      <c r="AJ30" s="446">
        <f t="shared" ca="1" si="25"/>
        <v>3.1622776601683898E+17</v>
      </c>
      <c r="AK30" s="446">
        <f t="shared" ca="1" si="25"/>
        <v>1705984479904.019</v>
      </c>
      <c r="AL30" s="446">
        <f t="shared" ca="1" si="25"/>
        <v>1413767658.2850196</v>
      </c>
      <c r="AM30" s="446">
        <f t="shared" ca="1" si="25"/>
        <v>9203439.2878657579</v>
      </c>
      <c r="AN30" s="446">
        <f t="shared" ca="1" si="25"/>
        <v>185363.80004736708</v>
      </c>
      <c r="AO30" s="446">
        <f t="shared" ca="1" si="25"/>
        <v>7626.9889693875566</v>
      </c>
      <c r="AP30" s="446">
        <f t="shared" ca="1" si="25"/>
        <v>513.78840584951286</v>
      </c>
      <c r="AQ30" s="446">
        <f t="shared" ca="1" si="25"/>
        <v>49.65068306494566</v>
      </c>
      <c r="AR30" s="446">
        <f t="shared" ca="1" si="26"/>
        <v>6.3205676616843256</v>
      </c>
      <c r="AS30" s="446">
        <f t="shared" ca="1" si="26"/>
        <v>1.000000000000002</v>
      </c>
      <c r="AT30" s="446">
        <f t="shared" ca="1" si="26"/>
        <v>0.8401870024723882</v>
      </c>
      <c r="AU30" s="446">
        <f t="shared" ca="1" si="26"/>
        <v>0.70712630651058428</v>
      </c>
      <c r="AV30" s="446">
        <f t="shared" ca="1" si="26"/>
        <v>0.59614041786175631</v>
      </c>
      <c r="AW30" s="446">
        <f t="shared" ca="1" si="26"/>
        <v>0.50340388429897176</v>
      </c>
      <c r="AX30" s="446">
        <f t="shared" ca="1" si="26"/>
        <v>0.42578196926664041</v>
      </c>
      <c r="AY30" s="446">
        <f t="shared" ca="1" si="26"/>
        <v>0.36070100956575041</v>
      </c>
      <c r="AZ30" s="446">
        <f t="shared" ca="1" si="26"/>
        <v>0.30604401475904569</v>
      </c>
      <c r="BA30" s="446">
        <f t="shared" ca="1" si="26"/>
        <v>0.26006641978431322</v>
      </c>
      <c r="BB30" s="446">
        <f t="shared" ca="1" si="27"/>
        <v>0.22132796251395959</v>
      </c>
      <c r="BC30" s="446">
        <f t="shared" ca="1" si="27"/>
        <v>0.18863749027796026</v>
      </c>
      <c r="BD30" s="446">
        <f t="shared" ca="1" si="27"/>
        <v>8.665383618918289E-2</v>
      </c>
      <c r="BE30" s="446">
        <f t="shared" ca="1" si="27"/>
        <v>4.1146054231940732E-2</v>
      </c>
      <c r="BF30" s="446">
        <f t="shared" ca="1" si="27"/>
        <v>2.0140709820486363E-2</v>
      </c>
      <c r="BG30" s="446">
        <f t="shared" ca="1" si="27"/>
        <v>1.0138911556171248E-2</v>
      </c>
      <c r="BH30" s="446">
        <f t="shared" ca="1" si="27"/>
        <v>5.2379222949286239E-3</v>
      </c>
      <c r="BI30" s="446">
        <f t="shared" ca="1" si="27"/>
        <v>2.771783949823115E-3</v>
      </c>
      <c r="BJ30" s="446">
        <f t="shared" ca="1" si="27"/>
        <v>8.2871073854350942E-4</v>
      </c>
      <c r="BK30" s="446">
        <f t="shared" ca="1" si="27"/>
        <v>2.6785533665288667E-4</v>
      </c>
      <c r="BL30" s="446">
        <f t="shared" ca="1" si="28"/>
        <v>9.2713692041351936E-5</v>
      </c>
      <c r="BM30" s="446">
        <f t="shared" ca="1" si="28"/>
        <v>3.4098176990702711E-5</v>
      </c>
      <c r="BN30" s="446">
        <f t="shared" ca="1" si="28"/>
        <v>1.3237683195292815E-5</v>
      </c>
      <c r="BO30" s="446">
        <f t="shared" ca="1" si="28"/>
        <v>5.394796609394461E-6</v>
      </c>
      <c r="BP30" s="446">
        <f t="shared" ca="1" si="28"/>
        <v>2.2970071241409596E-6</v>
      </c>
      <c r="BQ30" s="446">
        <f t="shared" ca="1" si="28"/>
        <v>1.0176608929562153E-6</v>
      </c>
      <c r="BR30" s="446">
        <f t="shared" ca="1" si="28"/>
        <v>4.6747982166442507E-7</v>
      </c>
      <c r="BS30" s="446">
        <f t="shared" ca="1" si="28"/>
        <v>2.2197459386043288E-7</v>
      </c>
      <c r="BT30" s="446">
        <f t="shared" ca="1" si="28"/>
        <v>1.0865503305035651E-7</v>
      </c>
      <c r="BU30" s="446">
        <f t="shared" ca="1" si="28"/>
        <v>5.4697365686182539E-8</v>
      </c>
      <c r="BV30" s="446">
        <f t="shared" ca="1" si="29"/>
        <v>2.82575254369524E-8</v>
      </c>
      <c r="BW30" s="446">
        <f t="shared" ca="1" si="29"/>
        <v>1.4953210654479597E-8</v>
      </c>
      <c r="BX30" s="446">
        <f t="shared" ca="1" si="29"/>
        <v>8.0916117573664223E-9</v>
      </c>
      <c r="BY30" s="446">
        <f t="shared" ca="1" si="29"/>
        <v>4.4707258824632659E-9</v>
      </c>
      <c r="BZ30" s="446">
        <f t="shared" ca="1" si="29"/>
        <v>3.0116827667647825E-10</v>
      </c>
      <c r="CA30" s="446">
        <f t="shared" ca="1" si="29"/>
        <v>2.9103830456733768E-11</v>
      </c>
      <c r="CB30" s="446">
        <f t="shared" ca="1" si="29"/>
        <v>3.7049385478817029E-12</v>
      </c>
      <c r="CC30" s="446">
        <f t="shared" ca="1" si="29"/>
        <v>1.1057397795821287E-13</v>
      </c>
      <c r="CD30" s="446">
        <f t="shared" ca="1" si="29"/>
        <v>5.9431440763996213E-15</v>
      </c>
      <c r="CE30" s="446">
        <f t="shared" ca="1" si="29"/>
        <v>4.8576686851813374E-16</v>
      </c>
      <c r="CF30" s="446">
        <f t="shared" ca="1" si="29"/>
        <v>5.4346152109524539E-17</v>
      </c>
      <c r="CG30" s="446">
        <f t="shared" ca="1" si="29"/>
        <v>7.759556637958097E-18</v>
      </c>
      <c r="CH30" s="446"/>
      <c r="CI30" s="446"/>
    </row>
    <row r="31" spans="1:87">
      <c r="A31" s="108">
        <f>IF(OR(A30=Abandonment!$B$4,A30=""),"",'Success Cash Flow'!A30+1)</f>
        <v>2044</v>
      </c>
      <c r="B31" s="196">
        <f ca="1">Revenue!S32*'Selected Economics'!$H32</f>
        <v>137.81589045790599</v>
      </c>
      <c r="C31" s="196">
        <f ca="1">Revenue!T32*'Selected Economics'!$H32</f>
        <v>1319.2231522361501</v>
      </c>
      <c r="D31" s="196">
        <f ca="1">Revenue!U32*'Selected Economics'!$H32</f>
        <v>0</v>
      </c>
      <c r="E31" s="196">
        <f t="shared" ca="1" si="18"/>
        <v>1457.0390426940562</v>
      </c>
      <c r="F31" s="196">
        <f ca="1">Exploration!X58*'Selected Economics'!$H32</f>
        <v>0</v>
      </c>
      <c r="G31" s="196"/>
      <c r="H31" s="196">
        <f ca="1">Development!CC113*'Selected Economics'!$H32</f>
        <v>0</v>
      </c>
      <c r="I31" s="196">
        <f ca="1">Abandonment!K37*'Selected Economics'!$H32</f>
        <v>0</v>
      </c>
      <c r="J31" s="196">
        <f ca="1">Operations!P40</f>
        <v>343.94917088795296</v>
      </c>
      <c r="K31" s="196">
        <f t="shared" ca="1" si="8"/>
        <v>343.94917088795296</v>
      </c>
      <c r="L31" s="196">
        <f t="shared" ca="1" si="9"/>
        <v>1113.0898718061032</v>
      </c>
      <c r="M31" s="196">
        <f ca="1">Royalty!AM33*Development!$BT$89*'Selected Economics'!$H32</f>
        <v>377.54323415105779</v>
      </c>
      <c r="N31" s="196">
        <f ca="1">'Provincial Tax'!X31*Development!$BT$89*'Selected Economics'!$H32</f>
        <v>96.576495694286734</v>
      </c>
      <c r="O31" s="196">
        <f ca="1">'Federal Tax'!X32*Development!$BT$89*'Selected Economics'!$H32</f>
        <v>90.060509771644732</v>
      </c>
      <c r="P31" s="196">
        <f t="shared" ca="1" si="10"/>
        <v>564.1802396169893</v>
      </c>
      <c r="Q31" s="196">
        <f t="shared" ca="1" si="11"/>
        <v>548.90963218911395</v>
      </c>
      <c r="R31" s="122"/>
      <c r="S31" s="122"/>
      <c r="T31" s="402"/>
      <c r="U31" s="402"/>
      <c r="V31" s="402"/>
      <c r="W31" s="402"/>
      <c r="X31" s="402"/>
      <c r="Y31" s="402"/>
      <c r="Z31" s="1"/>
      <c r="AA31" s="1"/>
      <c r="AB31" s="1"/>
      <c r="AC31" s="440"/>
      <c r="AD31" s="482">
        <f>IF(Thresholds!$E$1=Lists!$A$9,Exploration!U58-'Deposit Recovery'!V37,IF(Thresholds!$E$1=Lists!$A$10,Exploration!V58-'Deposit Recovery'!W37,IF(Thresholds!$E$1=Lists!$A$11,Exploration!W58-'Deposit Recovery'!X37,IF(Thresholds!$E$1=Lists!$A$12,Development!AY113,Development!BI113-Development!AY113))))</f>
        <v>0</v>
      </c>
      <c r="AE31" s="482">
        <f t="shared" ca="1" si="19"/>
        <v>0</v>
      </c>
      <c r="AF31" s="447">
        <f ca="1">AH31*IF(Input!$B$3="Real",'Selected Economics'!H32,1)</f>
        <v>0.17148862752541782</v>
      </c>
      <c r="AG31" s="449">
        <f t="shared" ca="1" si="12"/>
        <v>0.17148862752541782</v>
      </c>
      <c r="AH31" s="449">
        <f t="shared" ca="1" si="25"/>
        <v>0.17148862752541782</v>
      </c>
      <c r="AI31" s="446">
        <f t="shared" ca="1" si="25"/>
        <v>9.9999999999998756E+36</v>
      </c>
      <c r="AJ31" s="446">
        <f t="shared" ca="1" si="25"/>
        <v>3.162277660168382E+18</v>
      </c>
      <c r="AK31" s="446">
        <f t="shared" ca="1" si="25"/>
        <v>8529922399520.0889</v>
      </c>
      <c r="AL31" s="446">
        <f t="shared" ca="1" si="25"/>
        <v>4712558860.9500637</v>
      </c>
      <c r="AM31" s="446">
        <f t="shared" ca="1" si="25"/>
        <v>23008598.219664417</v>
      </c>
      <c r="AN31" s="446">
        <f t="shared" ca="1" si="25"/>
        <v>370727.60009473423</v>
      </c>
      <c r="AO31" s="446">
        <f t="shared" ca="1" si="25"/>
        <v>12711.648282312592</v>
      </c>
      <c r="AP31" s="446">
        <f t="shared" ca="1" si="25"/>
        <v>733.98343692787557</v>
      </c>
      <c r="AQ31" s="446">
        <f t="shared" ca="1" si="25"/>
        <v>62.06335383118207</v>
      </c>
      <c r="AR31" s="446">
        <f t="shared" ca="1" si="26"/>
        <v>7.0228529574270304</v>
      </c>
      <c r="AS31" s="446">
        <f t="shared" ca="1" si="26"/>
        <v>1.000000000000002</v>
      </c>
      <c r="AT31" s="446">
        <f t="shared" ca="1" si="26"/>
        <v>0.83186831927959248</v>
      </c>
      <c r="AU31" s="446">
        <f t="shared" ca="1" si="26"/>
        <v>0.69326108481429849</v>
      </c>
      <c r="AV31" s="446">
        <f t="shared" ca="1" si="26"/>
        <v>0.57877710472015198</v>
      </c>
      <c r="AW31" s="446">
        <f t="shared" ca="1" si="26"/>
        <v>0.48404219644131907</v>
      </c>
      <c r="AX31" s="446">
        <f t="shared" ca="1" si="26"/>
        <v>0.40550663739680048</v>
      </c>
      <c r="AY31" s="446">
        <f t="shared" ca="1" si="26"/>
        <v>0.34028397128844373</v>
      </c>
      <c r="AZ31" s="446">
        <f t="shared" ca="1" si="26"/>
        <v>0.28602244370004271</v>
      </c>
      <c r="BA31" s="446">
        <f t="shared" ca="1" si="26"/>
        <v>0.24080224054103078</v>
      </c>
      <c r="BB31" s="446">
        <f t="shared" ca="1" si="27"/>
        <v>0.20305317661831157</v>
      </c>
      <c r="BC31" s="446">
        <f t="shared" ca="1" si="27"/>
        <v>0.17148862752541844</v>
      </c>
      <c r="BD31" s="446">
        <f t="shared" ca="1" si="27"/>
        <v>7.5351161903637318E-2</v>
      </c>
      <c r="BE31" s="446">
        <f t="shared" ca="1" si="27"/>
        <v>3.4288378526617279E-2</v>
      </c>
      <c r="BF31" s="446">
        <f t="shared" ca="1" si="27"/>
        <v>1.6112567856389093E-2</v>
      </c>
      <c r="BG31" s="446">
        <f t="shared" ca="1" si="27"/>
        <v>7.7991627355163441E-3</v>
      </c>
      <c r="BH31" s="446">
        <f t="shared" ca="1" si="27"/>
        <v>3.8799424406878707E-3</v>
      </c>
      <c r="BI31" s="446">
        <f t="shared" ca="1" si="27"/>
        <v>1.9798456784450823E-3</v>
      </c>
      <c r="BJ31" s="446">
        <f t="shared" ca="1" si="27"/>
        <v>5.5247382569567334E-4</v>
      </c>
      <c r="BK31" s="446">
        <f t="shared" ca="1" si="27"/>
        <v>1.6740958540805399E-4</v>
      </c>
      <c r="BL31" s="446">
        <f t="shared" ca="1" si="28"/>
        <v>5.4537465906677716E-5</v>
      </c>
      <c r="BM31" s="446">
        <f t="shared" ca="1" si="28"/>
        <v>1.8943431661501514E-5</v>
      </c>
      <c r="BN31" s="446">
        <f t="shared" ca="1" si="28"/>
        <v>6.9672016817330567E-6</v>
      </c>
      <c r="BO31" s="446">
        <f t="shared" ca="1" si="28"/>
        <v>2.6973983046972305E-6</v>
      </c>
      <c r="BP31" s="446">
        <f t="shared" ca="1" si="28"/>
        <v>1.0938129162575995E-6</v>
      </c>
      <c r="BQ31" s="446">
        <f t="shared" ca="1" si="28"/>
        <v>4.6257313316191641E-7</v>
      </c>
      <c r="BR31" s="446">
        <f t="shared" ca="1" si="28"/>
        <v>2.0325209637583718E-7</v>
      </c>
      <c r="BS31" s="446">
        <f t="shared" ca="1" si="28"/>
        <v>9.2489414108513677E-8</v>
      </c>
      <c r="BT31" s="446">
        <f t="shared" ca="1" si="28"/>
        <v>4.3462013220142721E-8</v>
      </c>
      <c r="BU31" s="446">
        <f t="shared" ca="1" si="28"/>
        <v>2.1037448340839433E-8</v>
      </c>
      <c r="BV31" s="446">
        <f t="shared" ca="1" si="29"/>
        <v>1.0465750161834233E-8</v>
      </c>
      <c r="BW31" s="446">
        <f t="shared" ca="1" si="29"/>
        <v>5.3404323765998693E-9</v>
      </c>
      <c r="BX31" s="446">
        <f t="shared" ca="1" si="29"/>
        <v>2.790210950816009E-9</v>
      </c>
      <c r="BY31" s="446">
        <f t="shared" ca="1" si="29"/>
        <v>1.4902419608210866E-9</v>
      </c>
      <c r="BZ31" s="446">
        <f t="shared" ca="1" si="29"/>
        <v>8.6048079050422357E-11</v>
      </c>
      <c r="CA31" s="446">
        <f t="shared" ca="1" si="29"/>
        <v>7.2759576141834421E-12</v>
      </c>
      <c r="CB31" s="446">
        <f t="shared" ca="1" si="29"/>
        <v>8.2331967730704468E-13</v>
      </c>
      <c r="CC31" s="446">
        <f t="shared" ca="1" si="29"/>
        <v>2.0104359628765975E-14</v>
      </c>
      <c r="CD31" s="446">
        <f t="shared" ca="1" si="29"/>
        <v>9.1432985790763622E-16</v>
      </c>
      <c r="CE31" s="446">
        <f t="shared" ca="1" si="29"/>
        <v>6.4768915802417937E-17</v>
      </c>
      <c r="CF31" s="446">
        <f t="shared" ca="1" si="29"/>
        <v>6.3936649540617062E-18</v>
      </c>
      <c r="CG31" s="446">
        <f t="shared" ca="1" si="29"/>
        <v>8.1679543557453678E-19</v>
      </c>
      <c r="CH31" s="446"/>
      <c r="CI31" s="446"/>
    </row>
    <row r="32" spans="1:87">
      <c r="A32" s="108">
        <f>IF(OR(A31=Abandonment!$B$4,A31=""),"",'Success Cash Flow'!A31+1)</f>
        <v>2045</v>
      </c>
      <c r="B32" s="196">
        <f ca="1">Revenue!S33*'Selected Economics'!$H33</f>
        <v>120.30063431334459</v>
      </c>
      <c r="C32" s="196">
        <f ca="1">Revenue!T33*'Selected Economics'!$H33</f>
        <v>1151.5608358916536</v>
      </c>
      <c r="D32" s="196">
        <f ca="1">Revenue!U33*'Selected Economics'!$H33</f>
        <v>0</v>
      </c>
      <c r="E32" s="196">
        <f t="shared" ca="1" si="18"/>
        <v>1271.8614702049981</v>
      </c>
      <c r="F32" s="196">
        <f ca="1">Exploration!X59*'Selected Economics'!$H33</f>
        <v>0</v>
      </c>
      <c r="G32" s="196"/>
      <c r="H32" s="196">
        <f ca="1">Development!CC114*'Selected Economics'!$H33</f>
        <v>0</v>
      </c>
      <c r="I32" s="196">
        <f ca="1">Abandonment!K38*'Selected Economics'!$H33</f>
        <v>0</v>
      </c>
      <c r="J32" s="196">
        <f ca="1">Operations!P41</f>
        <v>338.24443275876462</v>
      </c>
      <c r="K32" s="196">
        <f t="shared" ca="1" si="8"/>
        <v>338.24443275876462</v>
      </c>
      <c r="L32" s="196">
        <f t="shared" ca="1" si="9"/>
        <v>933.61703744623355</v>
      </c>
      <c r="M32" s="196">
        <f ca="1">Royalty!AM34*Development!$BT$89*'Selected Economics'!$H33</f>
        <v>314.92740795962493</v>
      </c>
      <c r="N32" s="196">
        <f ca="1">'Provincial Tax'!X32*Development!$BT$89*'Selected Economics'!$H33</f>
        <v>81.853350873432603</v>
      </c>
      <c r="O32" s="196">
        <f ca="1">'Federal Tax'!X33*Development!$BT$89*'Selected Economics'!$H33</f>
        <v>77.63928851021663</v>
      </c>
      <c r="P32" s="196">
        <f t="shared" ca="1" si="10"/>
        <v>474.42004734327418</v>
      </c>
      <c r="Q32" s="196">
        <f t="shared" ca="1" si="11"/>
        <v>459.19699010295938</v>
      </c>
      <c r="R32" s="122"/>
      <c r="S32" s="122"/>
      <c r="T32" s="402"/>
      <c r="U32" s="402"/>
      <c r="V32" s="402"/>
      <c r="W32" s="402"/>
      <c r="X32" s="402"/>
      <c r="Y32" s="402"/>
      <c r="Z32" s="1"/>
      <c r="AA32" s="1"/>
      <c r="AB32" s="1"/>
      <c r="AC32" s="440"/>
      <c r="AD32" s="482">
        <f>IF(Thresholds!$E$1=Lists!$A$9,Exploration!U59-'Deposit Recovery'!V38,IF(Thresholds!$E$1=Lists!$A$10,Exploration!V59-'Deposit Recovery'!W38,IF(Thresholds!$E$1=Lists!$A$11,Exploration!W59-'Deposit Recovery'!X38,IF(Thresholds!$E$1=Lists!$A$12,Development!AY114,Development!BI114-Development!AY114))))</f>
        <v>0</v>
      </c>
      <c r="AE32" s="482">
        <f t="shared" ca="1" si="19"/>
        <v>0</v>
      </c>
      <c r="AF32" s="447">
        <f ca="1">AH32*IF(Input!$B$3="Real",'Selected Economics'!H33,1)</f>
        <v>0.15589875229583436</v>
      </c>
      <c r="AG32" s="449">
        <f t="shared" ca="1" si="12"/>
        <v>0.15589875229583436</v>
      </c>
      <c r="AH32" s="449">
        <f t="shared" ca="1" si="25"/>
        <v>0.15589875229583436</v>
      </c>
      <c r="AI32" s="446">
        <f t="shared" ca="1" si="25"/>
        <v>9.9999999999999692E+38</v>
      </c>
      <c r="AJ32" s="446">
        <f t="shared" ca="1" si="25"/>
        <v>3.1622776601683968E+19</v>
      </c>
      <c r="AK32" s="446">
        <f t="shared" ca="1" si="25"/>
        <v>42649611997600.406</v>
      </c>
      <c r="AL32" s="446">
        <f t="shared" ca="1" si="25"/>
        <v>15708529536.500212</v>
      </c>
      <c r="AM32" s="446">
        <f t="shared" ca="1" si="25"/>
        <v>57521495.54916089</v>
      </c>
      <c r="AN32" s="446">
        <f t="shared" ca="1" si="25"/>
        <v>741455.20018946845</v>
      </c>
      <c r="AO32" s="446">
        <f t="shared" ca="1" si="25"/>
        <v>21186.080470520985</v>
      </c>
      <c r="AP32" s="446">
        <f t="shared" ca="1" si="25"/>
        <v>1048.5477670398222</v>
      </c>
      <c r="AQ32" s="446">
        <f t="shared" ca="1" si="25"/>
        <v>77.579192288977666</v>
      </c>
      <c r="AR32" s="446">
        <f t="shared" ca="1" si="26"/>
        <v>7.8031699526967033</v>
      </c>
      <c r="AS32" s="446">
        <f t="shared" ca="1" si="26"/>
        <v>1.0000000000000022</v>
      </c>
      <c r="AT32" s="446">
        <f t="shared" ca="1" si="26"/>
        <v>0.82363199928672526</v>
      </c>
      <c r="AU32" s="446">
        <f t="shared" ca="1" si="26"/>
        <v>0.67966773021009663</v>
      </c>
      <c r="AV32" s="446">
        <f t="shared" ca="1" si="26"/>
        <v>0.56191951914577876</v>
      </c>
      <c r="AW32" s="446">
        <f t="shared" ca="1" si="26"/>
        <v>0.46542518888588374</v>
      </c>
      <c r="AX32" s="446">
        <f t="shared" ca="1" si="26"/>
        <v>0.38619679752076236</v>
      </c>
      <c r="AY32" s="446">
        <f t="shared" ca="1" si="26"/>
        <v>0.32102261442306018</v>
      </c>
      <c r="AZ32" s="446">
        <f t="shared" ca="1" si="26"/>
        <v>0.26731069504676891</v>
      </c>
      <c r="BA32" s="446">
        <f t="shared" ca="1" si="26"/>
        <v>0.22296503753799146</v>
      </c>
      <c r="BB32" s="446">
        <f t="shared" ca="1" si="27"/>
        <v>0.186287317998451</v>
      </c>
      <c r="BC32" s="446">
        <f t="shared" ca="1" si="27"/>
        <v>0.15589875229583494</v>
      </c>
      <c r="BD32" s="446">
        <f t="shared" ca="1" si="27"/>
        <v>6.5522749481423753E-2</v>
      </c>
      <c r="BE32" s="446">
        <f t="shared" ca="1" si="27"/>
        <v>2.8573648772181073E-2</v>
      </c>
      <c r="BF32" s="446">
        <f t="shared" ca="1" si="27"/>
        <v>1.2890054285111285E-2</v>
      </c>
      <c r="BG32" s="446">
        <f t="shared" ca="1" si="27"/>
        <v>5.9993559503971911E-3</v>
      </c>
      <c r="BH32" s="446">
        <f t="shared" ca="1" si="27"/>
        <v>2.8740314375465719E-3</v>
      </c>
      <c r="BI32" s="446">
        <f t="shared" ca="1" si="27"/>
        <v>1.4141754846036302E-3</v>
      </c>
      <c r="BJ32" s="446">
        <f t="shared" ca="1" si="27"/>
        <v>3.6831588379711549E-4</v>
      </c>
      <c r="BK32" s="446">
        <f t="shared" ca="1" si="27"/>
        <v>1.0463099088003382E-4</v>
      </c>
      <c r="BL32" s="446">
        <f t="shared" ca="1" si="28"/>
        <v>3.2080862298045662E-5</v>
      </c>
      <c r="BM32" s="446">
        <f t="shared" ca="1" si="28"/>
        <v>1.0524128700834161E-5</v>
      </c>
      <c r="BN32" s="446">
        <f t="shared" ca="1" si="28"/>
        <v>3.6669482535437126E-6</v>
      </c>
      <c r="BO32" s="446">
        <f t="shared" ca="1" si="28"/>
        <v>1.348699152348615E-6</v>
      </c>
      <c r="BP32" s="446">
        <f t="shared" ca="1" si="28"/>
        <v>5.2086329345599966E-7</v>
      </c>
      <c r="BQ32" s="446">
        <f t="shared" ca="1" si="28"/>
        <v>2.1026051507359818E-7</v>
      </c>
      <c r="BR32" s="446">
        <f t="shared" ca="1" si="28"/>
        <v>8.8370476685146551E-8</v>
      </c>
      <c r="BS32" s="446">
        <f t="shared" ca="1" si="28"/>
        <v>3.8537255878547418E-8</v>
      </c>
      <c r="BT32" s="446">
        <f t="shared" ca="1" si="28"/>
        <v>1.7384805288057069E-8</v>
      </c>
      <c r="BU32" s="446">
        <f t="shared" ca="1" si="28"/>
        <v>8.0913262849382414E-9</v>
      </c>
      <c r="BV32" s="446">
        <f t="shared" ca="1" si="29"/>
        <v>3.8762037636422985E-9</v>
      </c>
      <c r="BW32" s="446">
        <f t="shared" ca="1" si="29"/>
        <v>1.9072972773570944E-9</v>
      </c>
      <c r="BX32" s="446">
        <f t="shared" ca="1" si="29"/>
        <v>9.621417071779347E-10</v>
      </c>
      <c r="BY32" s="446">
        <f t="shared" ca="1" si="29"/>
        <v>4.9674732027369671E-10</v>
      </c>
      <c r="BZ32" s="446">
        <f t="shared" ca="1" si="29"/>
        <v>2.4585165442977817E-11</v>
      </c>
      <c r="CA32" s="446">
        <f t="shared" ca="1" si="29"/>
        <v>1.8189894035458597E-12</v>
      </c>
      <c r="CB32" s="446">
        <f t="shared" ca="1" si="29"/>
        <v>1.8295992829045424E-13</v>
      </c>
      <c r="CC32" s="446">
        <f t="shared" ca="1" si="29"/>
        <v>3.6553381143210735E-15</v>
      </c>
      <c r="CD32" s="446">
        <f t="shared" ca="1" si="29"/>
        <v>1.4066613198578951E-16</v>
      </c>
      <c r="CE32" s="446">
        <f t="shared" ca="1" si="29"/>
        <v>8.6358554403223426E-18</v>
      </c>
      <c r="CF32" s="446">
        <f t="shared" ca="1" si="29"/>
        <v>7.5219587694843532E-19</v>
      </c>
      <c r="CG32" s="446">
        <f t="shared" ca="1" si="29"/>
        <v>8.5978466902582834E-20</v>
      </c>
      <c r="CH32" s="446"/>
      <c r="CI32" s="446"/>
    </row>
    <row r="33" spans="1:87">
      <c r="A33" s="108">
        <f>IF(OR(A32=Abandonment!$B$4,A32=""),"",'Success Cash Flow'!A32+1)</f>
        <v>2046</v>
      </c>
      <c r="B33" s="196">
        <f ca="1">Revenue!S34*'Selected Economics'!$H34</f>
        <v>105.32320534133297</v>
      </c>
      <c r="C33" s="196">
        <f ca="1">Revenue!T34*'Selected Economics'!$H34</f>
        <v>1008.1915118231406</v>
      </c>
      <c r="D33" s="196">
        <f ca="1">Revenue!U34*'Selected Economics'!$H34</f>
        <v>0</v>
      </c>
      <c r="E33" s="196">
        <f t="shared" ca="1" si="18"/>
        <v>1113.5147171644735</v>
      </c>
      <c r="F33" s="196">
        <f ca="1">Exploration!X60*'Selected Economics'!$H34</f>
        <v>0</v>
      </c>
      <c r="G33" s="196"/>
      <c r="H33" s="196">
        <f ca="1">Development!CC115*'Selected Economics'!$H34</f>
        <v>0</v>
      </c>
      <c r="I33" s="196">
        <f ca="1">Abandonment!K39*'Selected Economics'!$H34</f>
        <v>0</v>
      </c>
      <c r="J33" s="196">
        <f ca="1">Operations!P42</f>
        <v>334.48898481630653</v>
      </c>
      <c r="K33" s="196">
        <f t="shared" ca="1" si="8"/>
        <v>334.48898481630653</v>
      </c>
      <c r="L33" s="196">
        <f t="shared" ca="1" si="9"/>
        <v>779.02573234816691</v>
      </c>
      <c r="M33" s="196">
        <f ca="1">Royalty!AM35*Development!$BT$89*'Selected Economics'!$H34</f>
        <v>260.95189185328769</v>
      </c>
      <c r="N33" s="196">
        <f ca="1">'Provincial Tax'!X33*Development!$BT$89*'Selected Economics'!$H34</f>
        <v>68.983719278124113</v>
      </c>
      <c r="O33" s="196">
        <f ca="1">'Federal Tax'!X34*Development!$BT$89*'Selected Economics'!$H34</f>
        <v>62.71264583913171</v>
      </c>
      <c r="P33" s="196">
        <f t="shared" ca="1" si="10"/>
        <v>392.64825697054351</v>
      </c>
      <c r="Q33" s="196">
        <f t="shared" ca="1" si="11"/>
        <v>386.3774753776234</v>
      </c>
      <c r="R33" s="122">
        <f ca="1">H33*AH33</f>
        <v>0</v>
      </c>
      <c r="S33" s="122"/>
      <c r="T33" s="402"/>
      <c r="U33" s="402"/>
      <c r="V33" s="402"/>
      <c r="W33" s="402"/>
      <c r="X33" s="402"/>
      <c r="Y33" s="402"/>
      <c r="Z33" s="1"/>
      <c r="AA33" s="1"/>
      <c r="AB33" s="1"/>
      <c r="AC33" s="440"/>
      <c r="AD33" s="482">
        <f>IF(Thresholds!$E$1=Lists!$A$9,Exploration!U60-'Deposit Recovery'!V39,IF(Thresholds!$E$1=Lists!$A$10,Exploration!V60-'Deposit Recovery'!W39,IF(Thresholds!$E$1=Lists!$A$11,Exploration!W60-'Deposit Recovery'!X39,IF(Thresholds!$E$1=Lists!$A$12,Development!AY115,Development!BI115-Development!AY115))))</f>
        <v>0</v>
      </c>
      <c r="AE33" s="482">
        <f t="shared" ca="1" si="19"/>
        <v>0</v>
      </c>
      <c r="AF33" s="447">
        <f ca="1">AH33*IF(Input!$B$3="Real",'Selected Economics'!H34,1)</f>
        <v>0.14172613845075852</v>
      </c>
      <c r="AG33" s="449">
        <f t="shared" ca="1" si="12"/>
        <v>0.14172613845075852</v>
      </c>
      <c r="AH33" s="449">
        <f t="shared" ca="1" si="25"/>
        <v>0.14172613845075852</v>
      </c>
      <c r="AI33" s="446">
        <f t="shared" ca="1" si="25"/>
        <v>9.9999999999999188E+40</v>
      </c>
      <c r="AJ33" s="446">
        <f t="shared" ca="1" si="25"/>
        <v>3.1622776601683893E+20</v>
      </c>
      <c r="AK33" s="446">
        <f t="shared" ca="1" si="25"/>
        <v>213248059988001.88</v>
      </c>
      <c r="AL33" s="446">
        <f t="shared" ca="1" si="25"/>
        <v>52361765121.667366</v>
      </c>
      <c r="AM33" s="446">
        <f t="shared" ca="1" si="25"/>
        <v>143803738.87290236</v>
      </c>
      <c r="AN33" s="446">
        <f t="shared" ca="1" si="25"/>
        <v>1482910.4003789371</v>
      </c>
      <c r="AO33" s="446">
        <f t="shared" ca="1" si="25"/>
        <v>35310.134117535032</v>
      </c>
      <c r="AP33" s="446">
        <f t="shared" ca="1" si="25"/>
        <v>1497.9253814854603</v>
      </c>
      <c r="AQ33" s="446">
        <f t="shared" ca="1" si="25"/>
        <v>96.973990361222064</v>
      </c>
      <c r="AR33" s="446">
        <f t="shared" ca="1" si="26"/>
        <v>8.67018883632967</v>
      </c>
      <c r="AS33" s="446">
        <f t="shared" ca="1" si="26"/>
        <v>1.0000000000000022</v>
      </c>
      <c r="AT33" s="446">
        <f t="shared" ca="1" si="26"/>
        <v>0.81547722701656</v>
      </c>
      <c r="AU33" s="446">
        <f t="shared" ca="1" si="26"/>
        <v>0.66634091197068313</v>
      </c>
      <c r="AV33" s="446">
        <f t="shared" ca="1" si="26"/>
        <v>0.545552931209494</v>
      </c>
      <c r="AW33" s="446">
        <f t="shared" ca="1" si="26"/>
        <v>0.44752422008258075</v>
      </c>
      <c r="AX33" s="446">
        <f t="shared" ca="1" si="26"/>
        <v>0.3678064738292976</v>
      </c>
      <c r="AY33" s="446">
        <f t="shared" ca="1" si="26"/>
        <v>0.30285152304062291</v>
      </c>
      <c r="AZ33" s="446">
        <f t="shared" ca="1" si="26"/>
        <v>0.2498230794829617</v>
      </c>
      <c r="BA33" s="446">
        <f t="shared" ca="1" si="26"/>
        <v>0.20644910883147363</v>
      </c>
      <c r="BB33" s="446">
        <f t="shared" ca="1" si="27"/>
        <v>0.17090579632885416</v>
      </c>
      <c r="BC33" s="446">
        <f t="shared" ca="1" si="27"/>
        <v>0.1417261384507591</v>
      </c>
      <c r="BD33" s="446">
        <f t="shared" ca="1" si="27"/>
        <v>5.6976303896890207E-2</v>
      </c>
      <c r="BE33" s="446">
        <f t="shared" ca="1" si="27"/>
        <v>2.3811373976817561E-2</v>
      </c>
      <c r="BF33" s="446">
        <f t="shared" ca="1" si="27"/>
        <v>1.0312043428089029E-2</v>
      </c>
      <c r="BG33" s="446">
        <f t="shared" ca="1" si="27"/>
        <v>4.6148891926132236E-3</v>
      </c>
      <c r="BH33" s="446">
        <f t="shared" ca="1" si="27"/>
        <v>2.1289121759604243E-3</v>
      </c>
      <c r="BI33" s="446">
        <f t="shared" ca="1" si="27"/>
        <v>1.0101253461454499E-3</v>
      </c>
      <c r="BJ33" s="446">
        <f t="shared" ca="1" si="27"/>
        <v>2.4554392253141029E-4</v>
      </c>
      <c r="BK33" s="446">
        <f t="shared" ca="1" si="27"/>
        <v>6.5394369300021191E-5</v>
      </c>
      <c r="BL33" s="446">
        <f t="shared" ca="1" si="28"/>
        <v>1.8871095469438659E-5</v>
      </c>
      <c r="BM33" s="446">
        <f t="shared" ca="1" si="28"/>
        <v>5.8467381671300911E-6</v>
      </c>
      <c r="BN33" s="446">
        <f t="shared" ca="1" si="28"/>
        <v>1.9299727650230092E-6</v>
      </c>
      <c r="BO33" s="446">
        <f t="shared" ca="1" si="28"/>
        <v>6.7434957617430752E-7</v>
      </c>
      <c r="BP33" s="446">
        <f t="shared" ca="1" si="28"/>
        <v>2.4803013974095256E-7</v>
      </c>
      <c r="BQ33" s="446">
        <f t="shared" ca="1" si="28"/>
        <v>9.5572961397090338E-8</v>
      </c>
      <c r="BR33" s="446">
        <f t="shared" ca="1" si="28"/>
        <v>3.842194638484637E-8</v>
      </c>
      <c r="BS33" s="446">
        <f t="shared" ca="1" si="28"/>
        <v>1.6057189949394725E-8</v>
      </c>
      <c r="BT33" s="446">
        <f t="shared" ca="1" si="28"/>
        <v>6.9539221152228221E-9</v>
      </c>
      <c r="BU33" s="446">
        <f t="shared" ca="1" si="28"/>
        <v>3.1120485711300915E-9</v>
      </c>
      <c r="BV33" s="446">
        <f t="shared" ca="1" si="29"/>
        <v>1.4356310235712232E-9</v>
      </c>
      <c r="BW33" s="446">
        <f t="shared" ca="1" si="29"/>
        <v>6.8117759905610439E-10</v>
      </c>
      <c r="BX33" s="446">
        <f t="shared" ca="1" si="29"/>
        <v>3.3177300247515007E-10</v>
      </c>
      <c r="BY33" s="446">
        <f t="shared" ca="1" si="29"/>
        <v>1.6558244009123202E-10</v>
      </c>
      <c r="BZ33" s="446">
        <f t="shared" ca="1" si="29"/>
        <v>7.0243329837079475E-12</v>
      </c>
      <c r="CA33" s="446">
        <f t="shared" ca="1" si="29"/>
        <v>4.5474735088646493E-13</v>
      </c>
      <c r="CB33" s="446">
        <f t="shared" ca="1" si="29"/>
        <v>4.065776184232329E-14</v>
      </c>
      <c r="CC33" s="446">
        <f t="shared" ca="1" si="29"/>
        <v>6.6460692987656351E-16</v>
      </c>
      <c r="CD33" s="446">
        <f t="shared" ca="1" si="29"/>
        <v>2.1640943382429203E-17</v>
      </c>
      <c r="CE33" s="446">
        <f t="shared" ca="1" si="29"/>
        <v>1.1514473920429806E-18</v>
      </c>
      <c r="CF33" s="446">
        <f t="shared" ca="1" si="29"/>
        <v>8.8493632582169411E-20</v>
      </c>
      <c r="CG33" s="446">
        <f t="shared" ca="1" si="29"/>
        <v>9.0503649371139862E-21</v>
      </c>
      <c r="CH33" s="446"/>
      <c r="CI33" s="446"/>
    </row>
    <row r="34" spans="1:87">
      <c r="A34" s="108">
        <f>IF(OR(A33=Abandonment!$B$4,A33=""),"",'Success Cash Flow'!A33+1)</f>
        <v>2047</v>
      </c>
      <c r="B34" s="196">
        <f ca="1">Revenue!S35*'Selected Economics'!$H35</f>
        <v>92.210466276336888</v>
      </c>
      <c r="C34" s="196">
        <f ca="1">Revenue!T35*'Selected Economics'!$H35</f>
        <v>882.67166860115844</v>
      </c>
      <c r="D34" s="196">
        <f ca="1">Revenue!U35*'Selected Economics'!$H35</f>
        <v>0</v>
      </c>
      <c r="E34" s="196">
        <f t="shared" ca="1" si="18"/>
        <v>974.88213487749533</v>
      </c>
      <c r="F34" s="196">
        <f ca="1">Exploration!X61*'Selected Economics'!$H35</f>
        <v>0</v>
      </c>
      <c r="G34" s="196"/>
      <c r="H34" s="196">
        <f ca="1">Development!CC116*'Selected Economics'!$H35</f>
        <v>0</v>
      </c>
      <c r="I34" s="196">
        <f ca="1">Abandonment!K40*'Selected Economics'!$H35</f>
        <v>0</v>
      </c>
      <c r="J34" s="196">
        <f ca="1">Operations!P43</f>
        <v>332.35176966076489</v>
      </c>
      <c r="K34" s="196">
        <f t="shared" ca="1" si="8"/>
        <v>332.35176966076489</v>
      </c>
      <c r="L34" s="196">
        <f t="shared" ca="1" si="9"/>
        <v>642.53036521673039</v>
      </c>
      <c r="M34" s="196">
        <f ca="1">Royalty!AM36*Development!$BT$89*'Selected Economics'!$H35</f>
        <v>213.25331588772886</v>
      </c>
      <c r="N34" s="196">
        <f ca="1">'Provincial Tax'!X34*Development!$BT$89*'Selected Economics'!$H35</f>
        <v>57.456868797593323</v>
      </c>
      <c r="O34" s="196">
        <f ca="1">'Federal Tax'!X35*Development!$BT$89*'Selected Economics'!$H35</f>
        <v>53.162069385420459</v>
      </c>
      <c r="P34" s="196">
        <f t="shared" ca="1" si="10"/>
        <v>323.87225407074266</v>
      </c>
      <c r="Q34" s="196">
        <f t="shared" ca="1" si="11"/>
        <v>318.65811114598773</v>
      </c>
      <c r="R34" s="122">
        <f ca="1">H34*AH34</f>
        <v>0</v>
      </c>
      <c r="S34" s="122"/>
      <c r="T34" s="402"/>
      <c r="U34" s="402"/>
      <c r="V34" s="402"/>
      <c r="W34" s="402"/>
      <c r="X34" s="402"/>
      <c r="Y34" s="402"/>
      <c r="Z34" s="1"/>
      <c r="AA34" s="1"/>
      <c r="AB34" s="1"/>
      <c r="AC34" s="440"/>
      <c r="AD34" s="482">
        <f>IF(Thresholds!$E$1=Lists!$A$9,Exploration!U61-'Deposit Recovery'!V40,IF(Thresholds!$E$1=Lists!$A$10,Exploration!V61-'Deposit Recovery'!W40,IF(Thresholds!$E$1=Lists!$A$11,Exploration!W61-'Deposit Recovery'!X40,IF(Thresholds!$E$1=Lists!$A$12,Development!AY116,Development!BI116-Development!AY116))))</f>
        <v>0</v>
      </c>
      <c r="AE34" s="482">
        <f t="shared" ca="1" si="19"/>
        <v>0</v>
      </c>
      <c r="AF34" s="447">
        <f ca="1">AH34*IF(Input!$B$3="Real",'Selected Economics'!H35,1)</f>
        <v>0.1288419440461441</v>
      </c>
      <c r="AG34" s="449">
        <f t="shared" ca="1" si="12"/>
        <v>0.1288419440461441</v>
      </c>
      <c r="AH34" s="449">
        <f t="shared" ca="1" si="25"/>
        <v>0.1288419440461441</v>
      </c>
      <c r="AI34" s="446">
        <f t="shared" ca="1" si="25"/>
        <v>9.9999999999998714E+42</v>
      </c>
      <c r="AJ34" s="446">
        <f t="shared" ca="1" si="25"/>
        <v>3.1622776601684036E+21</v>
      </c>
      <c r="AK34" s="446">
        <f t="shared" ca="1" si="25"/>
        <v>1066240299940012.4</v>
      </c>
      <c r="AL34" s="446">
        <f t="shared" ca="1" si="25"/>
        <v>174539217072.22455</v>
      </c>
      <c r="AM34" s="446">
        <f t="shared" ca="1" si="25"/>
        <v>359509347.18225628</v>
      </c>
      <c r="AN34" s="446">
        <f t="shared" ca="1" si="25"/>
        <v>2965820.8007578743</v>
      </c>
      <c r="AO34" s="446">
        <f t="shared" ca="1" si="25"/>
        <v>58850.223529225033</v>
      </c>
      <c r="AP34" s="446">
        <f t="shared" ca="1" si="25"/>
        <v>2139.8934021220884</v>
      </c>
      <c r="AQ34" s="446">
        <f t="shared" ca="1" si="25"/>
        <v>121.21748795152757</v>
      </c>
      <c r="AR34" s="446">
        <f t="shared" ca="1" si="26"/>
        <v>9.6335431514774115</v>
      </c>
      <c r="AS34" s="446">
        <f t="shared" ca="1" si="26"/>
        <v>1.0000000000000024</v>
      </c>
      <c r="AT34" s="446">
        <f t="shared" ca="1" si="26"/>
        <v>0.80740319506590108</v>
      </c>
      <c r="AU34" s="446">
        <f t="shared" ca="1" si="26"/>
        <v>0.65327540389282679</v>
      </c>
      <c r="AV34" s="446">
        <f t="shared" ca="1" si="26"/>
        <v>0.5296630400092176</v>
      </c>
      <c r="AW34" s="446">
        <f t="shared" ca="1" si="26"/>
        <v>0.43031175007940453</v>
      </c>
      <c r="AX34" s="446">
        <f t="shared" ca="1" si="26"/>
        <v>0.35029187983742638</v>
      </c>
      <c r="AY34" s="446">
        <f t="shared" ca="1" si="26"/>
        <v>0.2857089840005877</v>
      </c>
      <c r="AZ34" s="446">
        <f t="shared" ca="1" si="26"/>
        <v>0.23347951353547824</v>
      </c>
      <c r="BA34" s="446">
        <f t="shared" ca="1" si="26"/>
        <v>0.19115658225136448</v>
      </c>
      <c r="BB34" s="446">
        <f t="shared" ca="1" si="27"/>
        <v>0.15679430855858179</v>
      </c>
      <c r="BC34" s="446">
        <f t="shared" ca="1" si="27"/>
        <v>0.1288419440461446</v>
      </c>
      <c r="BD34" s="446">
        <f t="shared" ca="1" si="27"/>
        <v>4.9544612084252371E-2</v>
      </c>
      <c r="BE34" s="446">
        <f t="shared" ca="1" si="27"/>
        <v>1.9842811647347972E-2</v>
      </c>
      <c r="BF34" s="446">
        <f t="shared" ca="1" si="27"/>
        <v>8.2496347424712239E-3</v>
      </c>
      <c r="BG34" s="446">
        <f t="shared" ca="1" si="27"/>
        <v>3.5499147635486327E-3</v>
      </c>
      <c r="BH34" s="446">
        <f t="shared" ca="1" si="27"/>
        <v>1.5769719821929057E-3</v>
      </c>
      <c r="BI34" s="446">
        <f t="shared" ca="1" si="27"/>
        <v>7.2151810438960719E-4</v>
      </c>
      <c r="BJ34" s="446">
        <f t="shared" ca="1" si="27"/>
        <v>1.6369594835427363E-4</v>
      </c>
      <c r="BK34" s="446">
        <f t="shared" ca="1" si="27"/>
        <v>4.0871480812513199E-5</v>
      </c>
      <c r="BL34" s="446">
        <f t="shared" ca="1" si="28"/>
        <v>1.1100644393787429E-5</v>
      </c>
      <c r="BM34" s="446">
        <f t="shared" ca="1" si="28"/>
        <v>3.2481878706278301E-6</v>
      </c>
      <c r="BN34" s="446">
        <f t="shared" ca="1" si="28"/>
        <v>1.0157751394857937E-6</v>
      </c>
      <c r="BO34" s="446">
        <f t="shared" ca="1" si="28"/>
        <v>3.3717478808715429E-7</v>
      </c>
      <c r="BP34" s="446">
        <f t="shared" ca="1" si="28"/>
        <v>1.1810959035283452E-7</v>
      </c>
      <c r="BQ34" s="446">
        <f t="shared" ca="1" si="28"/>
        <v>4.3442255180495493E-8</v>
      </c>
      <c r="BR34" s="446">
        <f t="shared" ca="1" si="28"/>
        <v>1.6705194080367947E-8</v>
      </c>
      <c r="BS34" s="446">
        <f t="shared" ca="1" si="28"/>
        <v>6.6904958122478101E-9</v>
      </c>
      <c r="BT34" s="446">
        <f t="shared" ca="1" si="28"/>
        <v>2.781568846089126E-9</v>
      </c>
      <c r="BU34" s="446">
        <f t="shared" ca="1" si="28"/>
        <v>1.1969417581269622E-9</v>
      </c>
      <c r="BV34" s="446">
        <f t="shared" ca="1" si="29"/>
        <v>5.3171519391526843E-10</v>
      </c>
      <c r="BW34" s="446">
        <f t="shared" ca="1" si="29"/>
        <v>2.4327771394860848E-10</v>
      </c>
      <c r="BX34" s="446">
        <f t="shared" ca="1" si="29"/>
        <v>1.1440448361212037E-10</v>
      </c>
      <c r="BY34" s="446">
        <f t="shared" ca="1" si="29"/>
        <v>5.5194146697077278E-11</v>
      </c>
      <c r="BZ34" s="446">
        <f t="shared" ca="1" si="29"/>
        <v>2.0069522810594132E-12</v>
      </c>
      <c r="CA34" s="446">
        <f t="shared" ca="1" si="29"/>
        <v>1.1368683772161621E-13</v>
      </c>
      <c r="CB34" s="446">
        <f t="shared" ca="1" si="29"/>
        <v>9.0350581871829478E-15</v>
      </c>
      <c r="CC34" s="446">
        <f t="shared" ca="1" si="29"/>
        <v>1.2083762361391978E-16</v>
      </c>
      <c r="CD34" s="446">
        <f t="shared" ca="1" si="29"/>
        <v>3.3293759049891157E-18</v>
      </c>
      <c r="CE34" s="446">
        <f t="shared" ca="1" si="29"/>
        <v>1.5352631893906429E-19</v>
      </c>
      <c r="CF34" s="446">
        <f t="shared" ca="1" si="29"/>
        <v>1.0411015597902275E-20</v>
      </c>
      <c r="CG34" s="446">
        <f t="shared" ca="1" si="29"/>
        <v>9.5266999338041963E-22</v>
      </c>
      <c r="CH34" s="446"/>
      <c r="CI34" s="446"/>
    </row>
    <row r="35" spans="1:87">
      <c r="A35" s="108">
        <f>IF(OR(A34=Abandonment!$B$4,A34=""),"",'Success Cash Flow'!A34+1)</f>
        <v>2048</v>
      </c>
      <c r="B35" s="196">
        <f ca="1">Revenue!S36*'Selected Economics'!$H36</f>
        <v>80.933910423841354</v>
      </c>
      <c r="C35" s="196">
        <f ca="1">Revenue!T36*'Selected Economics'!$H36</f>
        <v>774.72842991751816</v>
      </c>
      <c r="D35" s="196">
        <f ca="1">Revenue!U36*'Selected Economics'!$H36</f>
        <v>0</v>
      </c>
      <c r="E35" s="196">
        <f t="shared" ca="1" si="18"/>
        <v>855.66234034135948</v>
      </c>
      <c r="F35" s="196">
        <f ca="1">Exploration!X62*'Selected Economics'!$H36</f>
        <v>0</v>
      </c>
      <c r="G35" s="196"/>
      <c r="H35" s="196">
        <f ca="1">Development!CC117*'Selected Economics'!$H36</f>
        <v>0</v>
      </c>
      <c r="I35" s="196">
        <f ca="1">Abandonment!K41*'Selected Economics'!$H36</f>
        <v>0</v>
      </c>
      <c r="J35" s="196">
        <f ca="1">Operations!P44</f>
        <v>331.72071358721138</v>
      </c>
      <c r="K35" s="196">
        <f t="shared" ca="1" si="8"/>
        <v>331.72071358721138</v>
      </c>
      <c r="L35" s="196">
        <f t="shared" ca="1" si="9"/>
        <v>523.94162675414805</v>
      </c>
      <c r="M35" s="196">
        <f ca="1">Royalty!AM37*Development!$BT$89*'Selected Economics'!$H36</f>
        <v>171.76934438839942</v>
      </c>
      <c r="N35" s="196">
        <f ca="1">'Provincial Tax'!X35*Development!$BT$89*'Selected Economics'!$H36</f>
        <v>47.335312929286268</v>
      </c>
      <c r="O35" s="196">
        <f ca="1">'Federal Tax'!X36*Development!$BT$89*'Selected Economics'!$H36</f>
        <v>41.677559922993019</v>
      </c>
      <c r="P35" s="196">
        <f t="shared" ca="1" si="10"/>
        <v>260.78221724067868</v>
      </c>
      <c r="Q35" s="196">
        <f t="shared" ca="1" si="11"/>
        <v>263.15940951346937</v>
      </c>
      <c r="R35" s="122">
        <f ca="1">H35*AH35</f>
        <v>0</v>
      </c>
      <c r="S35" s="122"/>
      <c r="T35" s="402"/>
      <c r="U35" s="402"/>
      <c r="V35" s="402"/>
      <c r="W35" s="402"/>
      <c r="X35" s="402"/>
      <c r="Y35" s="402"/>
      <c r="Z35" s="1"/>
      <c r="AA35" s="1"/>
      <c r="AB35" s="1"/>
      <c r="AC35" s="440"/>
      <c r="AD35" s="482">
        <f>IF(Thresholds!$E$1=Lists!$A$9,Exploration!U62-'Deposit Recovery'!V41,IF(Thresholds!$E$1=Lists!$A$10,Exploration!V62-'Deposit Recovery'!W41,IF(Thresholds!$E$1=Lists!$A$11,Exploration!W62-'Deposit Recovery'!X41,IF(Thresholds!$E$1=Lists!$A$12,Development!AY117,Development!BI117-Development!AY117))))</f>
        <v>0</v>
      </c>
      <c r="AE35" s="482">
        <f t="shared" ca="1" si="19"/>
        <v>0</v>
      </c>
      <c r="AF35" s="447">
        <f ca="1">AH35*IF(Input!$B$3="Real",'Selected Economics'!H36,1)</f>
        <v>0.11712904004194918</v>
      </c>
      <c r="AG35" s="449">
        <f t="shared" ca="1" si="12"/>
        <v>0.11712904004194918</v>
      </c>
      <c r="AH35" s="449">
        <f t="shared" ca="1" si="25"/>
        <v>0.11712904004194918</v>
      </c>
      <c r="AI35" s="446">
        <f t="shared" ca="1" si="25"/>
        <v>9.9999999999999644E+44</v>
      </c>
      <c r="AJ35" s="446">
        <f t="shared" ca="1" si="25"/>
        <v>3.1622776601683964E+22</v>
      </c>
      <c r="AK35" s="446">
        <f t="shared" ca="1" si="25"/>
        <v>5331201499700077</v>
      </c>
      <c r="AL35" s="446">
        <f t="shared" ca="1" si="25"/>
        <v>581797390240.74854</v>
      </c>
      <c r="AM35" s="446">
        <f t="shared" ca="1" si="25"/>
        <v>898773367.95564151</v>
      </c>
      <c r="AN35" s="446">
        <f t="shared" ca="1" si="25"/>
        <v>5931641.6015157495</v>
      </c>
      <c r="AO35" s="446">
        <f t="shared" ca="1" si="25"/>
        <v>98083.705882041715</v>
      </c>
      <c r="AP35" s="446">
        <f t="shared" ca="1" si="25"/>
        <v>3056.9905744601238</v>
      </c>
      <c r="AQ35" s="446">
        <f t="shared" ca="1" si="25"/>
        <v>151.52185993940961</v>
      </c>
      <c r="AR35" s="446">
        <f t="shared" ca="1" si="26"/>
        <v>10.703936834974902</v>
      </c>
      <c r="AS35" s="446">
        <f t="shared" ca="1" si="26"/>
        <v>1.0000000000000024</v>
      </c>
      <c r="AT35" s="446">
        <f t="shared" ca="1" si="26"/>
        <v>0.7994091040256448</v>
      </c>
      <c r="AU35" s="446">
        <f t="shared" ca="1" si="26"/>
        <v>0.64046608224786949</v>
      </c>
      <c r="AV35" s="446">
        <f t="shared" ca="1" si="26"/>
        <v>0.51423596117399772</v>
      </c>
      <c r="AW35" s="446">
        <f t="shared" ca="1" si="26"/>
        <v>0.41376129815327373</v>
      </c>
      <c r="AX35" s="446">
        <f t="shared" ca="1" si="26"/>
        <v>0.3336113141308823</v>
      </c>
      <c r="AY35" s="446">
        <f t="shared" ca="1" si="26"/>
        <v>0.26953677735904502</v>
      </c>
      <c r="AZ35" s="446">
        <f t="shared" ca="1" si="26"/>
        <v>0.21820515283689557</v>
      </c>
      <c r="BA35" s="446">
        <f t="shared" ca="1" si="26"/>
        <v>0.17699683541793013</v>
      </c>
      <c r="BB35" s="446">
        <f t="shared" ca="1" si="27"/>
        <v>0.14384798950328609</v>
      </c>
      <c r="BC35" s="446">
        <f t="shared" ca="1" si="27"/>
        <v>0.11712904004194964</v>
      </c>
      <c r="BD35" s="446">
        <f t="shared" ca="1" si="27"/>
        <v>4.3082271377610747E-2</v>
      </c>
      <c r="BE35" s="446">
        <f t="shared" ca="1" si="27"/>
        <v>1.6535676372789989E-2</v>
      </c>
      <c r="BF35" s="446">
        <f t="shared" ca="1" si="27"/>
        <v>6.5997077939769786E-3</v>
      </c>
      <c r="BG35" s="446">
        <f t="shared" ca="1" si="27"/>
        <v>2.7307036642681805E-3</v>
      </c>
      <c r="BH35" s="446">
        <f t="shared" ca="1" si="27"/>
        <v>1.1681273942169676E-3</v>
      </c>
      <c r="BI35" s="446">
        <f t="shared" ca="1" si="27"/>
        <v>5.1537007456400506E-4</v>
      </c>
      <c r="BJ35" s="446">
        <f t="shared" ca="1" si="27"/>
        <v>1.091306322361825E-4</v>
      </c>
      <c r="BK35" s="446">
        <f t="shared" ca="1" si="27"/>
        <v>2.554467550782077E-5</v>
      </c>
      <c r="BL35" s="446">
        <f t="shared" ca="1" si="28"/>
        <v>6.529790819874971E-6</v>
      </c>
      <c r="BM35" s="446">
        <f t="shared" ca="1" si="28"/>
        <v>1.8045488170154615E-6</v>
      </c>
      <c r="BN35" s="446">
        <f t="shared" ca="1" si="28"/>
        <v>5.3461849446620704E-7</v>
      </c>
      <c r="BO35" s="446">
        <f t="shared" ca="1" si="28"/>
        <v>1.6858739404357714E-7</v>
      </c>
      <c r="BP35" s="446">
        <f t="shared" ca="1" si="28"/>
        <v>5.6242662072778336E-8</v>
      </c>
      <c r="BQ35" s="446">
        <f t="shared" ca="1" si="28"/>
        <v>1.9746479627497969E-8</v>
      </c>
      <c r="BR35" s="446">
        <f t="shared" ca="1" si="28"/>
        <v>7.2631278610295498E-9</v>
      </c>
      <c r="BS35" s="446">
        <f t="shared" ca="1" si="28"/>
        <v>2.7877065884365918E-9</v>
      </c>
      <c r="BT35" s="446">
        <f t="shared" ca="1" si="28"/>
        <v>1.1126275384356533E-9</v>
      </c>
      <c r="BU35" s="446">
        <f t="shared" ca="1" si="28"/>
        <v>4.6036221466421605E-10</v>
      </c>
      <c r="BV35" s="446">
        <f t="shared" ca="1" si="29"/>
        <v>1.9693155330195078E-10</v>
      </c>
      <c r="BW35" s="446">
        <f t="shared" ca="1" si="29"/>
        <v>8.6884897838788972E-11</v>
      </c>
      <c r="BX35" s="446">
        <f t="shared" ca="1" si="29"/>
        <v>3.9449821935213945E-11</v>
      </c>
      <c r="BY35" s="446">
        <f t="shared" ca="1" si="29"/>
        <v>1.8398048899025805E-11</v>
      </c>
      <c r="BZ35" s="446">
        <f t="shared" ca="1" si="29"/>
        <v>5.7341493744554664E-13</v>
      </c>
      <c r="CA35" s="446">
        <f t="shared" ca="1" si="29"/>
        <v>2.8421709430404045E-14</v>
      </c>
      <c r="CB35" s="446">
        <f t="shared" ca="1" si="29"/>
        <v>2.0077907082628763E-15</v>
      </c>
      <c r="CC35" s="446">
        <f t="shared" ca="1" si="29"/>
        <v>2.1970477020712843E-17</v>
      </c>
      <c r="CD35" s="446">
        <f t="shared" ca="1" si="29"/>
        <v>5.1221167769063071E-19</v>
      </c>
      <c r="CE35" s="446">
        <f t="shared" ca="1" si="29"/>
        <v>2.0470175858541934E-20</v>
      </c>
      <c r="CF35" s="446">
        <f t="shared" ca="1" si="29"/>
        <v>1.2248253644590899E-21</v>
      </c>
      <c r="CG35" s="446">
        <f t="shared" ca="1" si="29"/>
        <v>1.0028105193478106E-22</v>
      </c>
      <c r="CH35" s="446"/>
      <c r="CI35" s="446"/>
    </row>
    <row r="36" spans="1:87">
      <c r="A36" s="108">
        <f>IF(OR(A35=Abandonment!$B$4,A35=""),"",'Success Cash Flow'!A35+1)</f>
        <v>2049</v>
      </c>
      <c r="B36" s="196">
        <f ca="1">Revenue!S37*'Selected Economics'!$H37</f>
        <v>70.647881961197513</v>
      </c>
      <c r="C36" s="196">
        <f ca="1">Revenue!T37*'Selected Economics'!$H37</f>
        <v>676.26687481386796</v>
      </c>
      <c r="D36" s="196">
        <f ca="1">Revenue!U37*'Selected Economics'!$H37</f>
        <v>0</v>
      </c>
      <c r="E36" s="196">
        <f t="shared" ca="1" si="18"/>
        <v>746.91475677506548</v>
      </c>
      <c r="F36" s="196">
        <f ca="1">Exploration!X63*'Selected Economics'!$H37</f>
        <v>0</v>
      </c>
      <c r="G36" s="196"/>
      <c r="H36" s="196">
        <f ca="1">Development!CC118*'Selected Economics'!$H37</f>
        <v>0</v>
      </c>
      <c r="I36" s="196">
        <f ca="1">Abandonment!K42*'Selected Economics'!$H37</f>
        <v>0</v>
      </c>
      <c r="J36" s="196">
        <f ca="1">Operations!P45</f>
        <v>332.26252526940027</v>
      </c>
      <c r="K36" s="196">
        <f t="shared" ca="1" si="8"/>
        <v>332.26252526940027</v>
      </c>
      <c r="L36" s="196">
        <f t="shared" ca="1" si="9"/>
        <v>414.65223150566521</v>
      </c>
      <c r="M36" s="196">
        <f ca="1">Royalty!AM38*Development!$BT$89*'Selected Economics'!$H37</f>
        <v>133.49909264255379</v>
      </c>
      <c r="N36" s="196">
        <f ca="1">'Provincial Tax'!X36*Development!$BT$89*'Selected Economics'!$H37</f>
        <v>37.893676874998839</v>
      </c>
      <c r="O36" s="196">
        <f ca="1">'Federal Tax'!X37*Development!$BT$89*'Selected Economics'!$H37</f>
        <v>33.821232990138483</v>
      </c>
      <c r="P36" s="196">
        <f t="shared" ca="1" si="10"/>
        <v>205.21400250769113</v>
      </c>
      <c r="Q36" s="196">
        <f t="shared" ca="1" si="11"/>
        <v>209.43822899797408</v>
      </c>
      <c r="R36" s="122">
        <f ca="1">H36*AG36</f>
        <v>0</v>
      </c>
      <c r="S36" s="122"/>
      <c r="T36" s="402"/>
      <c r="U36" s="402"/>
      <c r="V36" s="402"/>
      <c r="W36" s="402"/>
      <c r="X36" s="402"/>
      <c r="Y36" s="402"/>
      <c r="Z36" s="1"/>
      <c r="AA36" s="1"/>
      <c r="AB36" s="1"/>
      <c r="AC36" s="440"/>
      <c r="AD36" s="482">
        <f>IF(Thresholds!$E$1=Lists!$A$9,Exploration!U63-'Deposit Recovery'!V42,IF(Thresholds!$E$1=Lists!$A$10,Exploration!V63-'Deposit Recovery'!W42,IF(Thresholds!$E$1=Lists!$A$11,Exploration!W63-'Deposit Recovery'!X42,IF(Thresholds!$E$1=Lists!$A$12,Development!AY118,Development!BI118-Development!AY118))))</f>
        <v>0</v>
      </c>
      <c r="AE36" s="482">
        <f t="shared" ca="1" si="19"/>
        <v>0</v>
      </c>
      <c r="AF36" s="447">
        <f ca="1">AH36*IF(Input!$B$3="Real",'Selected Economics'!H37,1)</f>
        <v>0.10648094549268106</v>
      </c>
      <c r="AG36" s="449">
        <f t="shared" ca="1" si="12"/>
        <v>0.10648094549268106</v>
      </c>
      <c r="AH36" s="449">
        <f t="shared" ca="1" si="25"/>
        <v>0.10648094549268106</v>
      </c>
      <c r="AI36" s="446">
        <f t="shared" ca="1" si="25"/>
        <v>9.9999999999999153E+46</v>
      </c>
      <c r="AJ36" s="446">
        <f t="shared" ca="1" si="25"/>
        <v>3.1622776601683887E+23</v>
      </c>
      <c r="AK36" s="446">
        <f t="shared" ca="1" si="25"/>
        <v>2.6656007498500272E+16</v>
      </c>
      <c r="AL36" s="446">
        <f t="shared" ca="1" si="25"/>
        <v>1939324634135.8281</v>
      </c>
      <c r="AM36" s="446">
        <f t="shared" ca="1" si="25"/>
        <v>2246933419.8891058</v>
      </c>
      <c r="AN36" s="446">
        <f t="shared" ca="1" si="25"/>
        <v>11863283.203031501</v>
      </c>
      <c r="AO36" s="446">
        <f t="shared" ca="1" si="25"/>
        <v>163472.84313673616</v>
      </c>
      <c r="AP36" s="446">
        <f t="shared" ca="1" si="25"/>
        <v>4367.1293920858952</v>
      </c>
      <c r="AQ36" s="446">
        <f t="shared" ca="1" si="25"/>
        <v>189.40232492426199</v>
      </c>
      <c r="AR36" s="446">
        <f t="shared" ca="1" si="26"/>
        <v>11.893263149972114</v>
      </c>
      <c r="AS36" s="446">
        <f t="shared" ca="1" si="26"/>
        <v>1.0000000000000027</v>
      </c>
      <c r="AT36" s="446">
        <f t="shared" ca="1" si="26"/>
        <v>0.79149416240162873</v>
      </c>
      <c r="AU36" s="446">
        <f t="shared" ca="1" si="26"/>
        <v>0.62790792377242111</v>
      </c>
      <c r="AV36" s="446">
        <f t="shared" ca="1" si="26"/>
        <v>0.49925821473203674</v>
      </c>
      <c r="AW36" s="446">
        <f t="shared" ca="1" si="26"/>
        <v>0.39784740207045555</v>
      </c>
      <c r="AX36" s="446">
        <f t="shared" ca="1" si="26"/>
        <v>0.31772506107703086</v>
      </c>
      <c r="AY36" s="446">
        <f t="shared" ca="1" si="26"/>
        <v>0.25427997864060858</v>
      </c>
      <c r="AZ36" s="446">
        <f t="shared" ca="1" si="26"/>
        <v>0.20393004938027626</v>
      </c>
      <c r="BA36" s="446">
        <f t="shared" ca="1" si="26"/>
        <v>0.16388595872030567</v>
      </c>
      <c r="BB36" s="446">
        <f t="shared" ca="1" si="27"/>
        <v>0.13197063257182215</v>
      </c>
      <c r="BC36" s="446">
        <f t="shared" ca="1" si="27"/>
        <v>0.10648094549268151</v>
      </c>
      <c r="BD36" s="446">
        <f t="shared" ca="1" si="27"/>
        <v>3.7462844676183271E-2</v>
      </c>
      <c r="BE36" s="446">
        <f t="shared" ca="1" si="27"/>
        <v>1.3779730310658319E-2</v>
      </c>
      <c r="BF36" s="446">
        <f t="shared" ca="1" si="27"/>
        <v>5.2797662351815834E-3</v>
      </c>
      <c r="BG36" s="446">
        <f t="shared" ca="1" si="27"/>
        <v>2.1005412802062922E-3</v>
      </c>
      <c r="BH36" s="446">
        <f t="shared" ca="1" si="27"/>
        <v>8.6527955127182793E-4</v>
      </c>
      <c r="BI36" s="446">
        <f t="shared" ca="1" si="27"/>
        <v>3.6812148183143224E-4</v>
      </c>
      <c r="BJ36" s="446">
        <f t="shared" ca="1" si="27"/>
        <v>7.2753754824121569E-5</v>
      </c>
      <c r="BK36" s="446">
        <f t="shared" ca="1" si="27"/>
        <v>1.5965422192387994E-5</v>
      </c>
      <c r="BL36" s="446">
        <f t="shared" ca="1" si="28"/>
        <v>3.8410534234558584E-6</v>
      </c>
      <c r="BM36" s="446">
        <f t="shared" ca="1" si="28"/>
        <v>1.0025271205641458E-6</v>
      </c>
      <c r="BN36" s="446">
        <f t="shared" ca="1" si="28"/>
        <v>2.8137815498221461E-7</v>
      </c>
      <c r="BO36" s="446">
        <f t="shared" ca="1" si="28"/>
        <v>8.4293697021788559E-8</v>
      </c>
      <c r="BP36" s="446">
        <f t="shared" ca="1" si="28"/>
        <v>2.6782220034656391E-8</v>
      </c>
      <c r="BQ36" s="446">
        <f t="shared" ca="1" si="28"/>
        <v>8.9756725579536306E-9</v>
      </c>
      <c r="BR36" s="446">
        <f t="shared" ca="1" si="28"/>
        <v>3.1578816787085038E-9</v>
      </c>
      <c r="BS36" s="446">
        <f t="shared" ca="1" si="28"/>
        <v>1.1615444118485775E-9</v>
      </c>
      <c r="BT36" s="446">
        <f t="shared" ca="1" si="28"/>
        <v>4.4505101537426087E-10</v>
      </c>
      <c r="BU36" s="446">
        <f t="shared" ca="1" si="28"/>
        <v>1.7706239025546765E-10</v>
      </c>
      <c r="BV36" s="446">
        <f t="shared" ca="1" si="29"/>
        <v>7.2937612334055921E-11</v>
      </c>
      <c r="BW36" s="446">
        <f t="shared" ca="1" si="29"/>
        <v>3.1030320656710313E-11</v>
      </c>
      <c r="BX36" s="446">
        <f t="shared" ca="1" si="29"/>
        <v>1.3603386874211713E-11</v>
      </c>
      <c r="BY36" s="446">
        <f t="shared" ca="1" si="29"/>
        <v>6.1326829663419274E-12</v>
      </c>
      <c r="BZ36" s="446">
        <f t="shared" ca="1" si="29"/>
        <v>1.6383283927015615E-13</v>
      </c>
      <c r="CA36" s="446">
        <f t="shared" ca="1" si="29"/>
        <v>7.1054273576009845E-15</v>
      </c>
      <c r="CB36" s="446">
        <f t="shared" ca="1" si="29"/>
        <v>4.461757129473056E-16</v>
      </c>
      <c r="CC36" s="446">
        <f t="shared" ca="1" si="29"/>
        <v>3.9946321855841248E-18</v>
      </c>
      <c r="CD36" s="446">
        <f t="shared" ca="1" si="29"/>
        <v>7.8801796567789527E-20</v>
      </c>
      <c r="CE36" s="446">
        <f t="shared" ca="1" si="29"/>
        <v>2.7293567811389287E-21</v>
      </c>
      <c r="CF36" s="446">
        <f t="shared" ca="1" si="29"/>
        <v>1.440971017010693E-22</v>
      </c>
      <c r="CG36" s="446">
        <f t="shared" ca="1" si="29"/>
        <v>1.0555900203661168E-23</v>
      </c>
      <c r="CH36" s="446"/>
      <c r="CI36" s="446"/>
    </row>
    <row r="37" spans="1:87">
      <c r="A37" s="108">
        <f>IF(OR(A36=Abandonment!$B$4,A36=""),"",'Success Cash Flow'!A36+1)</f>
        <v>2050</v>
      </c>
      <c r="B37" s="196">
        <f ca="1">Revenue!S38*'Selected Economics'!$H38</f>
        <v>61.85222065702861</v>
      </c>
      <c r="C37" s="196">
        <f ca="1">Revenue!T38*'Selected Economics'!$H38</f>
        <v>592.07164889954311</v>
      </c>
      <c r="D37" s="196">
        <f ca="1">Revenue!U38*'Selected Economics'!$H38</f>
        <v>0</v>
      </c>
      <c r="E37" s="196">
        <f t="shared" ca="1" si="18"/>
        <v>653.92386955657173</v>
      </c>
      <c r="F37" s="196">
        <f ca="1">Exploration!X64*'Selected Economics'!$H38</f>
        <v>0</v>
      </c>
      <c r="G37" s="196"/>
      <c r="H37" s="196">
        <f ca="1">Development!CC119*'Selected Economics'!$H38</f>
        <v>0</v>
      </c>
      <c r="I37" s="196">
        <f ca="1">Abandonment!K43*'Selected Economics'!$H38</f>
        <v>0</v>
      </c>
      <c r="J37" s="196">
        <f ca="1">Operations!P46</f>
        <v>334.06583870955592</v>
      </c>
      <c r="K37" s="196">
        <f t="shared" ca="1" si="8"/>
        <v>334.06583870955592</v>
      </c>
      <c r="L37" s="196">
        <f t="shared" ca="1" si="9"/>
        <v>319.85803084701581</v>
      </c>
      <c r="M37" s="196">
        <f ca="1">Royalty!AM39*Development!$BT$89*'Selected Economics'!$H38</f>
        <v>100.25800644162105</v>
      </c>
      <c r="N37" s="196">
        <f ca="1">'Provincial Tax'!X37*Development!$BT$89*'Selected Economics'!$H38</f>
        <v>29.6493711622992</v>
      </c>
      <c r="O37" s="196">
        <f ca="1">'Federal Tax'!X38*Development!$BT$89*'Selected Economics'!$H38</f>
        <v>24.628056556690627</v>
      </c>
      <c r="P37" s="196">
        <f t="shared" ca="1" si="10"/>
        <v>154.53543416061089</v>
      </c>
      <c r="Q37" s="196">
        <f t="shared" ca="1" si="11"/>
        <v>165.32259668640492</v>
      </c>
      <c r="R37" s="122">
        <f ca="1">H37*AG37</f>
        <v>0</v>
      </c>
      <c r="S37" s="122"/>
      <c r="T37" s="402"/>
      <c r="U37" s="402"/>
      <c r="V37" s="402"/>
      <c r="W37" s="402"/>
      <c r="X37" s="402"/>
      <c r="Y37" s="402"/>
      <c r="Z37" s="1"/>
      <c r="AA37" s="1"/>
      <c r="AB37" s="1"/>
      <c r="AC37" s="440"/>
      <c r="AD37" s="482">
        <f>IF(Thresholds!$E$1=Lists!$A$9,Exploration!U64-'Deposit Recovery'!V43,IF(Thresholds!$E$1=Lists!$A$10,Exploration!V64-'Deposit Recovery'!W43,IF(Thresholds!$E$1=Lists!$A$11,Exploration!W64-'Deposit Recovery'!X43,IF(Thresholds!$E$1=Lists!$A$12,Development!AY119,Development!BI119-Development!AY119))))</f>
        <v>0</v>
      </c>
      <c r="AE37" s="482">
        <f t="shared" ca="1" si="19"/>
        <v>0</v>
      </c>
      <c r="AF37" s="447">
        <f ca="1">AH37*IF(Input!$B$3="Real",'Selected Economics'!H38,1)</f>
        <v>9.6800859538800965E-2</v>
      </c>
      <c r="AG37" s="449">
        <f t="shared" ca="1" si="12"/>
        <v>9.6800859538800965E-2</v>
      </c>
      <c r="AH37" s="449">
        <f t="shared" ref="AH37:AQ49" ca="1" si="30">IF(OR($A37="",$A37&lt;$AH$2-1),0,IF($A37=$AH$2-1,AH$7,1/(1+AH$6)^($A37-$AH$2+0.5+$AJ$1)))</f>
        <v>9.6800859538800965E-2</v>
      </c>
      <c r="AI37" s="446">
        <f t="shared" ca="1" si="30"/>
        <v>9.9999999999998658E+48</v>
      </c>
      <c r="AJ37" s="446">
        <f t="shared" ca="1" si="30"/>
        <v>3.1622776601684032E+24</v>
      </c>
      <c r="AK37" s="446">
        <f t="shared" ca="1" si="30"/>
        <v>1.3328003749250173E+17</v>
      </c>
      <c r="AL37" s="446">
        <f t="shared" ca="1" si="30"/>
        <v>6464415447119.4492</v>
      </c>
      <c r="AM37" s="446">
        <f t="shared" ca="1" si="30"/>
        <v>5617333549.7227497</v>
      </c>
      <c r="AN37" s="446">
        <f t="shared" ca="1" si="30"/>
        <v>23726566.406063043</v>
      </c>
      <c r="AO37" s="446">
        <f t="shared" ca="1" si="30"/>
        <v>272454.73856122734</v>
      </c>
      <c r="AP37" s="446">
        <f t="shared" ca="1" si="30"/>
        <v>6238.756274408428</v>
      </c>
      <c r="AQ37" s="446">
        <f t="shared" ca="1" si="30"/>
        <v>236.75290615532748</v>
      </c>
      <c r="AR37" s="446">
        <f t="shared" ref="AR37:BA49" ca="1" si="31">IF(OR($A37="",$A37&lt;$AH$2-1),0,IF($A37=$AH$2-1,AR$7,1/(1+AR$6)^($A37-$AH$2+0.5+$AJ$1)))</f>
        <v>13.21473683330235</v>
      </c>
      <c r="AS37" s="446">
        <f t="shared" ca="1" si="31"/>
        <v>1.0000000000000027</v>
      </c>
      <c r="AT37" s="446">
        <f t="shared" ca="1" si="31"/>
        <v>0.78365758653626627</v>
      </c>
      <c r="AU37" s="446">
        <f t="shared" ca="1" si="31"/>
        <v>0.61559600369845224</v>
      </c>
      <c r="AV37" s="446">
        <f t="shared" ca="1" si="31"/>
        <v>0.48471671333207461</v>
      </c>
      <c r="AW37" s="446">
        <f t="shared" ca="1" si="31"/>
        <v>0.38254557891389962</v>
      </c>
      <c r="AX37" s="446">
        <f t="shared" ca="1" si="31"/>
        <v>0.30259529626383891</v>
      </c>
      <c r="AY37" s="446">
        <f t="shared" ca="1" si="31"/>
        <v>0.23988677230246094</v>
      </c>
      <c r="AZ37" s="446">
        <f t="shared" ca="1" si="31"/>
        <v>0.19058883119651993</v>
      </c>
      <c r="BA37" s="446">
        <f t="shared" ca="1" si="31"/>
        <v>0.15174625807435713</v>
      </c>
      <c r="BB37" s="446">
        <f t="shared" ref="BB37:BK49" ca="1" si="32">IF(OR($A37="",$A37&lt;$AH$2-1),0,IF($A37=$AH$2-1,BB$7,1/(1+BB$6)^($A37-$AH$2+0.5+$AJ$1)))</f>
        <v>0.12107397483653405</v>
      </c>
      <c r="BC37" s="446">
        <f t="shared" ca="1" si="32"/>
        <v>9.6800859538801423E-2</v>
      </c>
      <c r="BD37" s="446">
        <f t="shared" ca="1" si="32"/>
        <v>3.2576386674941976E-2</v>
      </c>
      <c r="BE37" s="446">
        <f t="shared" ca="1" si="32"/>
        <v>1.1483108592215274E-2</v>
      </c>
      <c r="BF37" s="446">
        <f t="shared" ca="1" si="32"/>
        <v>4.2238129881452665E-3</v>
      </c>
      <c r="BG37" s="446">
        <f t="shared" ca="1" si="32"/>
        <v>1.6158009847740721E-3</v>
      </c>
      <c r="BH37" s="446">
        <f t="shared" ca="1" si="32"/>
        <v>6.4094781575690972E-4</v>
      </c>
      <c r="BI37" s="446">
        <f t="shared" ca="1" si="32"/>
        <v>2.6294391559388036E-4</v>
      </c>
      <c r="BJ37" s="446">
        <f t="shared" ca="1" si="32"/>
        <v>4.8502503216081086E-5</v>
      </c>
      <c r="BK37" s="446">
        <f t="shared" ca="1" si="32"/>
        <v>9.9783888702424866E-6</v>
      </c>
      <c r="BL37" s="446">
        <f t="shared" ref="BL37:BU49" ca="1" si="33">IF(OR($A37="",$A37&lt;$AH$2-1),0,IF($A37=$AH$2-1,BL$7,1/(1+BL$6)^($A37-$AH$2+0.5+$AJ$1)))</f>
        <v>2.2594431902681563E-6</v>
      </c>
      <c r="BM37" s="446">
        <f t="shared" ca="1" si="33"/>
        <v>5.5695951142452466E-7</v>
      </c>
      <c r="BN37" s="446">
        <f t="shared" ca="1" si="33"/>
        <v>1.4809376578011284E-7</v>
      </c>
      <c r="BO37" s="446">
        <f t="shared" ca="1" si="33"/>
        <v>4.2146848510894352E-8</v>
      </c>
      <c r="BP37" s="446">
        <f t="shared" ca="1" si="33"/>
        <v>1.2753438111741112E-8</v>
      </c>
      <c r="BQ37" s="446">
        <f t="shared" ca="1" si="33"/>
        <v>4.0798511627061995E-9</v>
      </c>
      <c r="BR37" s="446">
        <f t="shared" ca="1" si="33"/>
        <v>1.37299203422109E-9</v>
      </c>
      <c r="BS37" s="446">
        <f t="shared" ca="1" si="33"/>
        <v>4.8397683827024127E-10</v>
      </c>
      <c r="BT37" s="446">
        <f t="shared" ca="1" si="33"/>
        <v>1.7802040614970422E-10</v>
      </c>
      <c r="BU37" s="446">
        <f t="shared" ca="1" si="33"/>
        <v>6.8100919329026001E-11</v>
      </c>
      <c r="BV37" s="446">
        <f t="shared" ref="BV37:CG49" ca="1" si="34">IF(OR($A37="",$A37&lt;$AH$2-1),0,IF($A37=$AH$2-1,BV$7,1/(1+BV$6)^($A37-$AH$2+0.5+$AJ$1)))</f>
        <v>2.7013930494094815E-11</v>
      </c>
      <c r="BW37" s="446">
        <f t="shared" ca="1" si="34"/>
        <v>1.108225737739653E-11</v>
      </c>
      <c r="BX37" s="446">
        <f t="shared" ca="1" si="34"/>
        <v>4.690823060073007E-12</v>
      </c>
      <c r="BY37" s="446">
        <f t="shared" ca="1" si="34"/>
        <v>2.0442276554473066E-12</v>
      </c>
      <c r="BZ37" s="446">
        <f t="shared" ca="1" si="34"/>
        <v>4.6809382648616036E-14</v>
      </c>
      <c r="CA37" s="446">
        <f t="shared" ca="1" si="34"/>
        <v>1.776356839400252E-15</v>
      </c>
      <c r="CB37" s="446">
        <f t="shared" ca="1" si="34"/>
        <v>9.9150158432734531E-17</v>
      </c>
      <c r="CC37" s="446">
        <f t="shared" ca="1" si="34"/>
        <v>7.2629676101530055E-19</v>
      </c>
      <c r="CD37" s="446">
        <f t="shared" ca="1" si="34"/>
        <v>1.2123353318121493E-20</v>
      </c>
      <c r="CE37" s="446">
        <f t="shared" ca="1" si="34"/>
        <v>3.639142374851884E-22</v>
      </c>
      <c r="CF37" s="446">
        <f t="shared" ca="1" si="34"/>
        <v>1.6952600200125781E-23</v>
      </c>
      <c r="CG37" s="446">
        <f t="shared" ca="1" si="34"/>
        <v>1.1111473898590704E-24</v>
      </c>
      <c r="CH37" s="446"/>
      <c r="CI37" s="446"/>
    </row>
    <row r="38" spans="1:87">
      <c r="A38" s="108">
        <f>IF(OR(A37=Abandonment!$B$4,A37=""),"",'Success Cash Flow'!A37+1)</f>
        <v>2051</v>
      </c>
      <c r="B38" s="196">
        <f ca="1">Revenue!S39*'Selected Economics'!$H39</f>
        <v>54.151619185228498</v>
      </c>
      <c r="C38" s="196">
        <f ca="1">Revenue!T39*'Selected Economics'!$H39</f>
        <v>518.35872861154951</v>
      </c>
      <c r="D38" s="196">
        <f ca="1">Revenue!U39*'Selected Economics'!$H39</f>
        <v>0</v>
      </c>
      <c r="E38" s="196">
        <f t="shared" ca="1" si="18"/>
        <v>572.51034779677798</v>
      </c>
      <c r="F38" s="196">
        <f ca="1">Exploration!X65*'Selected Economics'!$H39</f>
        <v>0</v>
      </c>
      <c r="G38" s="196"/>
      <c r="H38" s="196">
        <f ca="1">Development!CC120*'Selected Economics'!$H39</f>
        <v>0</v>
      </c>
      <c r="I38" s="196">
        <f ca="1">Abandonment!K44*'Selected Economics'!$H39</f>
        <v>0</v>
      </c>
      <c r="J38" s="196">
        <f ca="1">Operations!P47</f>
        <v>336.93973956149796</v>
      </c>
      <c r="K38" s="196">
        <f t="shared" ca="1" si="8"/>
        <v>336.93973956149796</v>
      </c>
      <c r="L38" s="196">
        <f t="shared" ca="1" si="9"/>
        <v>235.57060823528002</v>
      </c>
      <c r="M38" s="196">
        <f ca="1">Royalty!AM40*Development!$BT$89*'Selected Economics'!$H39</f>
        <v>70.656821997695559</v>
      </c>
      <c r="N38" s="196">
        <f ca="1">'Provincial Tax'!X38*Development!$BT$89*'Selected Economics'!$H39</f>
        <v>22.271288651364824</v>
      </c>
      <c r="O38" s="196">
        <f ca="1">'Federal Tax'!X39*Development!$BT$89*'Selected Economics'!$H39</f>
        <v>18.507749859989854</v>
      </c>
      <c r="P38" s="196">
        <f t="shared" ca="1" si="10"/>
        <v>111.43586050905024</v>
      </c>
      <c r="Q38" s="196">
        <f t="shared" ca="1" si="11"/>
        <v>124.13474772622978</v>
      </c>
      <c r="R38" s="122">
        <f ca="1">H38*AG38</f>
        <v>0</v>
      </c>
      <c r="S38" s="122"/>
      <c r="T38" s="402"/>
      <c r="U38" s="402"/>
      <c r="V38" s="402"/>
      <c r="W38" s="402"/>
      <c r="X38" s="402"/>
      <c r="Y38" s="402"/>
      <c r="Z38" s="1"/>
      <c r="AA38" s="1"/>
      <c r="AB38" s="1"/>
      <c r="AC38" s="440"/>
      <c r="AD38" s="482">
        <f>IF(Thresholds!$E$1=Lists!$A$9,Exploration!U65-'Deposit Recovery'!V44,IF(Thresholds!$E$1=Lists!$A$10,Exploration!V65-'Deposit Recovery'!W44,IF(Thresholds!$E$1=Lists!$A$11,Exploration!W65-'Deposit Recovery'!X44,IF(Thresholds!$E$1=Lists!$A$12,Development!AY120,Development!BI120-Development!AY120))))</f>
        <v>0</v>
      </c>
      <c r="AE38" s="482">
        <f t="shared" ca="1" si="19"/>
        <v>0</v>
      </c>
      <c r="AF38" s="447">
        <f ca="1">AH38*IF(Input!$B$3="Real",'Selected Economics'!H39,1)</f>
        <v>8.8000781398909919E-2</v>
      </c>
      <c r="AG38" s="449">
        <f t="shared" ca="1" si="12"/>
        <v>8.8000781398909919E-2</v>
      </c>
      <c r="AH38" s="449">
        <f t="shared" ca="1" si="30"/>
        <v>8.8000781398909919E-2</v>
      </c>
      <c r="AI38" s="446">
        <f t="shared" ca="1" si="30"/>
        <v>9.9999999999998172E+50</v>
      </c>
      <c r="AJ38" s="446">
        <f t="shared" ca="1" si="30"/>
        <v>3.1622776601683958E+25</v>
      </c>
      <c r="AK38" s="446">
        <f t="shared" ca="1" si="30"/>
        <v>6.6640018746250573E+17</v>
      </c>
      <c r="AL38" s="446">
        <f t="shared" ca="1" si="30"/>
        <v>21548051490398.16</v>
      </c>
      <c r="AM38" s="446">
        <f t="shared" ca="1" si="30"/>
        <v>14043333874.306887</v>
      </c>
      <c r="AN38" s="446">
        <f t="shared" ca="1" si="30"/>
        <v>47453132.812126011</v>
      </c>
      <c r="AO38" s="446">
        <f t="shared" ca="1" si="30"/>
        <v>454091.23093537882</v>
      </c>
      <c r="AP38" s="446">
        <f t="shared" ca="1" si="30"/>
        <v>8912.5089634406049</v>
      </c>
      <c r="AQ38" s="446">
        <f t="shared" ca="1" si="30"/>
        <v>295.94113269415936</v>
      </c>
      <c r="AR38" s="446">
        <f t="shared" ca="1" si="31"/>
        <v>14.683040925891499</v>
      </c>
      <c r="AS38" s="446">
        <f t="shared" ca="1" si="31"/>
        <v>1.0000000000000029</v>
      </c>
      <c r="AT38" s="446">
        <f t="shared" ca="1" si="31"/>
        <v>0.77589860053095672</v>
      </c>
      <c r="AU38" s="446">
        <f t="shared" ca="1" si="31"/>
        <v>0.60352549382201215</v>
      </c>
      <c r="AV38" s="446">
        <f t="shared" ca="1" si="31"/>
        <v>0.47059875080783947</v>
      </c>
      <c r="AW38" s="446">
        <f t="shared" ca="1" si="31"/>
        <v>0.36783228741721125</v>
      </c>
      <c r="AX38" s="446">
        <f t="shared" ca="1" si="31"/>
        <v>0.28818599644175141</v>
      </c>
      <c r="AY38" s="446">
        <f t="shared" ca="1" si="31"/>
        <v>0.22630827575703871</v>
      </c>
      <c r="AZ38" s="446">
        <f t="shared" ca="1" si="31"/>
        <v>0.17812040298740181</v>
      </c>
      <c r="BA38" s="446">
        <f t="shared" ca="1" si="31"/>
        <v>0.14050579451329367</v>
      </c>
      <c r="BB38" s="446">
        <f t="shared" ca="1" si="32"/>
        <v>0.11107704113443492</v>
      </c>
      <c r="BC38" s="446">
        <f t="shared" ca="1" si="32"/>
        <v>8.8000781398910391E-2</v>
      </c>
      <c r="BD38" s="446">
        <f t="shared" ca="1" si="32"/>
        <v>2.832729276081912E-2</v>
      </c>
      <c r="BE38" s="446">
        <f t="shared" ca="1" si="32"/>
        <v>9.5692571601793917E-3</v>
      </c>
      <c r="BF38" s="446">
        <f t="shared" ca="1" si="32"/>
        <v>3.3790503905162137E-3</v>
      </c>
      <c r="BG38" s="446">
        <f t="shared" ca="1" si="32"/>
        <v>1.2429238344415937E-3</v>
      </c>
      <c r="BH38" s="446">
        <f t="shared" ca="1" si="32"/>
        <v>4.7477615981993327E-4</v>
      </c>
      <c r="BI38" s="446">
        <f t="shared" ca="1" si="32"/>
        <v>1.8781708256705726E-4</v>
      </c>
      <c r="BJ38" s="446">
        <f t="shared" ca="1" si="32"/>
        <v>3.233500214405408E-5</v>
      </c>
      <c r="BK38" s="446">
        <f t="shared" ca="1" si="32"/>
        <v>6.2364930439015579E-6</v>
      </c>
      <c r="BL38" s="446">
        <f t="shared" ca="1" si="33"/>
        <v>1.3290842295695017E-6</v>
      </c>
      <c r="BM38" s="446">
        <f t="shared" ca="1" si="33"/>
        <v>3.0942195079140269E-7</v>
      </c>
      <c r="BN38" s="446">
        <f t="shared" ca="1" si="33"/>
        <v>7.7944087252690943E-8</v>
      </c>
      <c r="BO38" s="446">
        <f t="shared" ca="1" si="33"/>
        <v>2.1073424255447136E-8</v>
      </c>
      <c r="BP38" s="446">
        <f t="shared" ca="1" si="33"/>
        <v>6.0730657674957768E-9</v>
      </c>
      <c r="BQ38" s="446">
        <f t="shared" ca="1" si="33"/>
        <v>1.8544778012300857E-9</v>
      </c>
      <c r="BR38" s="446">
        <f t="shared" ca="1" si="33"/>
        <v>5.9695305835699428E-10</v>
      </c>
      <c r="BS38" s="446">
        <f t="shared" ca="1" si="33"/>
        <v>2.0165701594593345E-10</v>
      </c>
      <c r="BT38" s="446">
        <f t="shared" ca="1" si="33"/>
        <v>7.1208162459881612E-11</v>
      </c>
      <c r="BU38" s="446">
        <f t="shared" ca="1" si="33"/>
        <v>2.6192661280394608E-11</v>
      </c>
      <c r="BV38" s="446">
        <f t="shared" ca="1" si="34"/>
        <v>1.0005159442257349E-11</v>
      </c>
      <c r="BW38" s="446">
        <f t="shared" ca="1" si="34"/>
        <v>3.9579490633558993E-12</v>
      </c>
      <c r="BX38" s="446">
        <f t="shared" ca="1" si="34"/>
        <v>1.6175251931286239E-12</v>
      </c>
      <c r="BY38" s="446">
        <f t="shared" ca="1" si="34"/>
        <v>6.8140921848243471E-13</v>
      </c>
      <c r="BZ38" s="446">
        <f t="shared" ca="1" si="34"/>
        <v>1.3374109328176011E-14</v>
      </c>
      <c r="CA38" s="446">
        <f t="shared" ca="1" si="34"/>
        <v>4.4408920985006459E-16</v>
      </c>
      <c r="CB38" s="446">
        <f t="shared" ca="1" si="34"/>
        <v>2.2033368540607659E-17</v>
      </c>
      <c r="CC38" s="446">
        <f t="shared" ca="1" si="34"/>
        <v>1.3205395654823551E-19</v>
      </c>
      <c r="CD38" s="446">
        <f t="shared" ca="1" si="34"/>
        <v>1.8651312797110035E-21</v>
      </c>
      <c r="CE38" s="446">
        <f t="shared" ca="1" si="34"/>
        <v>4.8521898331358521E-23</v>
      </c>
      <c r="CF38" s="446">
        <f t="shared" ca="1" si="34"/>
        <v>1.9944235529559729E-24</v>
      </c>
      <c r="CG38" s="446">
        <f t="shared" ca="1" si="34"/>
        <v>1.169628831430601E-25</v>
      </c>
      <c r="CH38" s="446"/>
      <c r="CI38" s="446"/>
    </row>
    <row r="39" spans="1:87">
      <c r="A39" s="108">
        <f>IF(OR(A38=Abandonment!$B$4,A38=""),"",'Success Cash Flow'!A38+1)</f>
        <v>2052</v>
      </c>
      <c r="B39" s="196">
        <f ca="1">Revenue!S40*'Selected Economics'!$H40</f>
        <v>47.529336673226638</v>
      </c>
      <c r="C39" s="196">
        <f ca="1">Revenue!T40*'Selected Economics'!$H40</f>
        <v>454.96786431096439</v>
      </c>
      <c r="D39" s="196">
        <f ca="1">Revenue!U40*'Selected Economics'!$H40</f>
        <v>0</v>
      </c>
      <c r="E39" s="196">
        <f t="shared" ca="1" si="18"/>
        <v>502.49720098419101</v>
      </c>
      <c r="F39" s="196">
        <f ca="1">Exploration!X66*'Selected Economics'!$H40</f>
        <v>0</v>
      </c>
      <c r="G39" s="196"/>
      <c r="H39" s="196">
        <f ca="1">Development!CC121*'Selected Economics'!$H40</f>
        <v>0</v>
      </c>
      <c r="I39" s="196">
        <f ca="1">Abandonment!K45*'Selected Economics'!$H40</f>
        <v>0</v>
      </c>
      <c r="J39" s="196">
        <f ca="1">Operations!P48</f>
        <v>340.82201916651775</v>
      </c>
      <c r="K39" s="196">
        <f t="shared" ca="1" si="8"/>
        <v>340.82201916651775</v>
      </c>
      <c r="L39" s="196">
        <f t="shared" ca="1" si="9"/>
        <v>161.67518181767326</v>
      </c>
      <c r="M39" s="196">
        <f ca="1">Royalty!AM41*Development!$BT$89*'Selected Economics'!$H40</f>
        <v>44.657542965357514</v>
      </c>
      <c r="N39" s="196">
        <f ca="1">'Provincial Tax'!X39*Development!$BT$89*'Selected Economics'!$H40</f>
        <v>15.773021311162989</v>
      </c>
      <c r="O39" s="196">
        <f ca="1">'Federal Tax'!X40*Development!$BT$89*'Selected Economics'!$H40</f>
        <v>11.342825212452274</v>
      </c>
      <c r="P39" s="196">
        <f t="shared" ca="1" si="10"/>
        <v>71.773389488972768</v>
      </c>
      <c r="Q39" s="196">
        <f t="shared" ca="1" si="11"/>
        <v>89.901792328700495</v>
      </c>
      <c r="R39" s="122">
        <f ca="1">H39*AG39</f>
        <v>0</v>
      </c>
      <c r="S39" s="122"/>
      <c r="T39" s="402"/>
      <c r="U39" s="402"/>
      <c r="V39" s="402"/>
      <c r="W39" s="402"/>
      <c r="X39" s="402"/>
      <c r="Y39" s="402"/>
      <c r="Z39" s="1"/>
      <c r="AA39" s="1"/>
      <c r="AB39" s="1"/>
      <c r="AC39" s="440"/>
      <c r="AD39" s="482">
        <f>IF(Thresholds!$E$1=Lists!$A$9,Exploration!U66-'Deposit Recovery'!V45,IF(Thresholds!$E$1=Lists!$A$10,Exploration!V66-'Deposit Recovery'!W45,IF(Thresholds!$E$1=Lists!$A$11,Exploration!W66-'Deposit Recovery'!X45,IF(Thresholds!$E$1=Lists!$A$12,Development!AY121,Development!BI121-Development!AY121))))</f>
        <v>0</v>
      </c>
      <c r="AE39" s="482">
        <f t="shared" ca="1" si="19"/>
        <v>0</v>
      </c>
      <c r="AF39" s="447">
        <f ca="1">AH39*IF(Input!$B$3="Real",'Selected Economics'!H40,1)</f>
        <v>8.0000710362645402E-2</v>
      </c>
      <c r="AG39" s="449">
        <f t="shared" ca="1" si="12"/>
        <v>8.0000710362645402E-2</v>
      </c>
      <c r="AH39" s="449">
        <f t="shared" ca="1" si="30"/>
        <v>8.0000710362645402E-2</v>
      </c>
      <c r="AI39" s="446">
        <f t="shared" ca="1" si="30"/>
        <v>9.9999999999999106E+52</v>
      </c>
      <c r="AJ39" s="446">
        <f t="shared" ca="1" si="30"/>
        <v>3.1622776601683872E+26</v>
      </c>
      <c r="AK39" s="446">
        <f t="shared" ca="1" si="30"/>
        <v>3.3320009373125381E+18</v>
      </c>
      <c r="AL39" s="446">
        <f t="shared" ca="1" si="30"/>
        <v>71826838301327.203</v>
      </c>
      <c r="AM39" s="446">
        <f t="shared" ca="1" si="30"/>
        <v>35108334685.76725</v>
      </c>
      <c r="AN39" s="446">
        <f t="shared" ca="1" si="30"/>
        <v>94906265.6242522</v>
      </c>
      <c r="AO39" s="446">
        <f t="shared" ca="1" si="30"/>
        <v>756818.71822563128</v>
      </c>
      <c r="AP39" s="446">
        <f t="shared" ca="1" si="30"/>
        <v>12732.155662058018</v>
      </c>
      <c r="AQ39" s="446">
        <f t="shared" ca="1" si="30"/>
        <v>369.92641586769952</v>
      </c>
      <c r="AR39" s="446">
        <f t="shared" ca="1" si="31"/>
        <v>16.31448991765723</v>
      </c>
      <c r="AS39" s="446">
        <f t="shared" ca="1" si="31"/>
        <v>1.0000000000000029</v>
      </c>
      <c r="AT39" s="446">
        <f t="shared" ca="1" si="31"/>
        <v>0.76821643616926427</v>
      </c>
      <c r="AU39" s="446">
        <f t="shared" ca="1" si="31"/>
        <v>0.59169166060981593</v>
      </c>
      <c r="AV39" s="446">
        <f t="shared" ca="1" si="31"/>
        <v>0.45689199107557243</v>
      </c>
      <c r="AW39" s="446">
        <f t="shared" ca="1" si="31"/>
        <v>0.3536848917473186</v>
      </c>
      <c r="AX39" s="446">
        <f t="shared" ca="1" si="31"/>
        <v>0.274462853754049</v>
      </c>
      <c r="AY39" s="446">
        <f t="shared" ca="1" si="31"/>
        <v>0.21349837335569688</v>
      </c>
      <c r="AZ39" s="446">
        <f t="shared" ca="1" si="31"/>
        <v>0.16646766634336621</v>
      </c>
      <c r="BA39" s="446">
        <f t="shared" ca="1" si="31"/>
        <v>0.13009795788267936</v>
      </c>
      <c r="BB39" s="446">
        <f t="shared" ca="1" si="32"/>
        <v>0.1019055423251697</v>
      </c>
      <c r="BC39" s="446">
        <f t="shared" ca="1" si="32"/>
        <v>8.0000710362645819E-2</v>
      </c>
      <c r="BD39" s="446">
        <f t="shared" ca="1" si="32"/>
        <v>2.4632428487668796E-2</v>
      </c>
      <c r="BE39" s="446">
        <f t="shared" ca="1" si="32"/>
        <v>7.974380966816165E-3</v>
      </c>
      <c r="BF39" s="446">
        <f t="shared" ca="1" si="32"/>
        <v>2.7032403124129735E-3</v>
      </c>
      <c r="BG39" s="446">
        <f t="shared" ca="1" si="32"/>
        <v>9.5609525726276503E-4</v>
      </c>
      <c r="BH39" s="446">
        <f t="shared" ca="1" si="32"/>
        <v>3.516860443110618E-4</v>
      </c>
      <c r="BI39" s="446">
        <f t="shared" ca="1" si="32"/>
        <v>1.3415505897646957E-4</v>
      </c>
      <c r="BJ39" s="446">
        <f t="shared" ca="1" si="32"/>
        <v>2.1556668096036066E-5</v>
      </c>
      <c r="BK39" s="446">
        <f t="shared" ca="1" si="32"/>
        <v>3.8978081524384769E-6</v>
      </c>
      <c r="BL39" s="446">
        <f t="shared" ca="1" si="33"/>
        <v>7.8181425268794365E-7</v>
      </c>
      <c r="BM39" s="446">
        <f t="shared" ca="1" si="33"/>
        <v>1.7190108377300156E-7</v>
      </c>
      <c r="BN39" s="446">
        <f t="shared" ca="1" si="33"/>
        <v>4.1023203817205739E-8</v>
      </c>
      <c r="BO39" s="446">
        <f t="shared" ca="1" si="33"/>
        <v>1.0536712127723586E-8</v>
      </c>
      <c r="BP39" s="446">
        <f t="shared" ca="1" si="33"/>
        <v>2.8919360797598982E-9</v>
      </c>
      <c r="BQ39" s="446">
        <f t="shared" ca="1" si="33"/>
        <v>8.4294445510458508E-10</v>
      </c>
      <c r="BR39" s="446">
        <f t="shared" ca="1" si="33"/>
        <v>2.5954480798130215E-10</v>
      </c>
      <c r="BS39" s="446">
        <f t="shared" ca="1" si="33"/>
        <v>8.4023756644139057E-11</v>
      </c>
      <c r="BT39" s="446">
        <f t="shared" ca="1" si="33"/>
        <v>2.8483264983952724E-11</v>
      </c>
      <c r="BU39" s="446">
        <f t="shared" ca="1" si="33"/>
        <v>1.0074100492459461E-11</v>
      </c>
      <c r="BV39" s="446">
        <f t="shared" ca="1" si="34"/>
        <v>3.7056146082434536E-12</v>
      </c>
      <c r="BW39" s="446">
        <f t="shared" ca="1" si="34"/>
        <v>1.4135532369128248E-12</v>
      </c>
      <c r="BX39" s="446">
        <f t="shared" ca="1" si="34"/>
        <v>5.577673079753878E-13</v>
      </c>
      <c r="BY39" s="446">
        <f t="shared" ca="1" si="34"/>
        <v>2.2713640616081212E-13</v>
      </c>
      <c r="BZ39" s="446">
        <f t="shared" ca="1" si="34"/>
        <v>3.8211740937645608E-15</v>
      </c>
      <c r="CA39" s="446">
        <f t="shared" ca="1" si="34"/>
        <v>1.1102230246251573E-16</v>
      </c>
      <c r="CB39" s="446">
        <f t="shared" ca="1" si="34"/>
        <v>4.8963041201350336E-18</v>
      </c>
      <c r="CC39" s="446">
        <f t="shared" ca="1" si="34"/>
        <v>2.4009810281497539E-20</v>
      </c>
      <c r="CD39" s="446">
        <f t="shared" ca="1" si="34"/>
        <v>2.8694327380169145E-22</v>
      </c>
      <c r="CE39" s="446">
        <f t="shared" ca="1" si="34"/>
        <v>6.4695864441811444E-24</v>
      </c>
      <c r="CF39" s="446">
        <f t="shared" ca="1" si="34"/>
        <v>2.3463806505364366E-25</v>
      </c>
      <c r="CG39" s="446">
        <f t="shared" ca="1" si="34"/>
        <v>1.2311882436111592E-26</v>
      </c>
      <c r="CH39" s="446"/>
      <c r="CI39" s="446"/>
    </row>
    <row r="40" spans="1:87">
      <c r="A40" s="108">
        <f>IF(OR(A39=Abandonment!$B$4,A39=""),"",'Success Cash Flow'!A39+1)</f>
        <v>2053</v>
      </c>
      <c r="B40" s="196">
        <f ca="1">Revenue!S41*'Selected Economics'!$H41</f>
        <v>41.488752358554081</v>
      </c>
      <c r="C40" s="196">
        <f ca="1">Revenue!T41*'Selected Economics'!$H41</f>
        <v>397.14522387035021</v>
      </c>
      <c r="D40" s="196">
        <f ca="1">Revenue!U41*'Selected Economics'!$H41</f>
        <v>0</v>
      </c>
      <c r="E40" s="196">
        <f t="shared" ca="1" si="18"/>
        <v>438.63397622890432</v>
      </c>
      <c r="F40" s="196">
        <f ca="1">Exploration!X67*'Selected Economics'!$H41</f>
        <v>0</v>
      </c>
      <c r="G40" s="196"/>
      <c r="H40" s="196">
        <f ca="1">Development!CC122*'Selected Economics'!$H41</f>
        <v>0</v>
      </c>
      <c r="I40" s="196">
        <f ca="1">Abandonment!K46*'Selected Economics'!$H41</f>
        <v>0</v>
      </c>
      <c r="J40" s="196">
        <f ca="1">Operations!P49</f>
        <v>345.52066459991596</v>
      </c>
      <c r="K40" s="196">
        <f t="shared" ca="1" si="8"/>
        <v>345.52066459991596</v>
      </c>
      <c r="L40" s="196">
        <f t="shared" ca="1" si="9"/>
        <v>93.113311628988356</v>
      </c>
      <c r="M40" s="196">
        <f ca="1">Royalty!AM42*Development!$BT$89*'Selected Economics'!$H41</f>
        <v>21.931698811445216</v>
      </c>
      <c r="N40" s="196">
        <f ca="1">'Provincial Tax'!X40*Development!$BT$89*'Selected Economics'!$H41</f>
        <v>9.5104627551182013</v>
      </c>
      <c r="O40" s="196">
        <f ca="1">'Federal Tax'!X41*Development!$BT$89*'Selected Economics'!$H41</f>
        <v>6.022151164781306</v>
      </c>
      <c r="P40" s="196">
        <f t="shared" ca="1" si="10"/>
        <v>37.46431273134472</v>
      </c>
      <c r="Q40" s="196">
        <f t="shared" ca="1" si="11"/>
        <v>55.648998897643636</v>
      </c>
      <c r="R40" s="122">
        <f ca="1">H40*AG40</f>
        <v>0</v>
      </c>
      <c r="S40" s="122"/>
      <c r="T40" s="402"/>
      <c r="U40" s="402"/>
      <c r="V40" s="402"/>
      <c r="W40" s="402"/>
      <c r="X40" s="402"/>
      <c r="Y40" s="402"/>
      <c r="Z40" s="1"/>
      <c r="AA40" s="1"/>
      <c r="AB40" s="1"/>
      <c r="AC40" s="440"/>
      <c r="AD40" s="482">
        <f>IF(Thresholds!$E$1=Lists!$A$9,Exploration!U67-'Deposit Recovery'!V46,IF(Thresholds!$E$1=Lists!$A$10,Exploration!V67-'Deposit Recovery'!W46,IF(Thresholds!$E$1=Lists!$A$11,Exploration!W67-'Deposit Recovery'!X46,IF(Thresholds!$E$1=Lists!$A$12,Development!AY122,Development!BI122-Development!AY122))))</f>
        <v>0</v>
      </c>
      <c r="AE40" s="482">
        <f t="shared" ca="1" si="19"/>
        <v>0</v>
      </c>
      <c r="AF40" s="447">
        <f ca="1">AH40*IF(Input!$B$3="Real",'Selected Economics'!H41,1)</f>
        <v>7.272791851149582E-2</v>
      </c>
      <c r="AG40" s="449">
        <f t="shared" ca="1" si="12"/>
        <v>7.272791851149582E-2</v>
      </c>
      <c r="AH40" s="449">
        <f t="shared" ca="1" si="30"/>
        <v>7.272791851149582E-2</v>
      </c>
      <c r="AI40" s="446">
        <f t="shared" ca="1" si="30"/>
        <v>9.9999999999998626E+54</v>
      </c>
      <c r="AJ40" s="446">
        <f t="shared" ca="1" si="30"/>
        <v>3.1622776601684025E+27</v>
      </c>
      <c r="AK40" s="446">
        <f t="shared" ca="1" si="30"/>
        <v>1.6660004686562736E+19</v>
      </c>
      <c r="AL40" s="446">
        <f t="shared" ca="1" si="30"/>
        <v>239422794337756.44</v>
      </c>
      <c r="AM40" s="446">
        <f t="shared" ca="1" si="30"/>
        <v>87770836714.418213</v>
      </c>
      <c r="AN40" s="446">
        <f t="shared" ca="1" si="30"/>
        <v>189812531.24850407</v>
      </c>
      <c r="AO40" s="446">
        <f t="shared" ca="1" si="30"/>
        <v>1261364.5303760518</v>
      </c>
      <c r="AP40" s="446">
        <f t="shared" ca="1" si="30"/>
        <v>18188.79380294001</v>
      </c>
      <c r="AQ40" s="446">
        <f t="shared" ca="1" si="30"/>
        <v>462.40801983462438</v>
      </c>
      <c r="AR40" s="446">
        <f t="shared" ca="1" si="31"/>
        <v>18.127211019619146</v>
      </c>
      <c r="AS40" s="446">
        <f t="shared" ca="1" si="31"/>
        <v>1.0000000000000031</v>
      </c>
      <c r="AT40" s="446">
        <f t="shared" ca="1" si="31"/>
        <v>0.76061033284085589</v>
      </c>
      <c r="AU40" s="446">
        <f t="shared" ca="1" si="31"/>
        <v>0.58008986334295687</v>
      </c>
      <c r="AV40" s="446">
        <f t="shared" ca="1" si="31"/>
        <v>0.44358445735492474</v>
      </c>
      <c r="AW40" s="446">
        <f t="shared" ca="1" si="31"/>
        <v>0.3400816266801141</v>
      </c>
      <c r="AX40" s="446">
        <f t="shared" ca="1" si="31"/>
        <v>0.26139319405147526</v>
      </c>
      <c r="AY40" s="446">
        <f t="shared" ca="1" si="31"/>
        <v>0.20141355976952541</v>
      </c>
      <c r="AZ40" s="446">
        <f t="shared" ca="1" si="31"/>
        <v>0.15557725826482827</v>
      </c>
      <c r="BA40" s="446">
        <f t="shared" ca="1" si="31"/>
        <v>0.120461072113592</v>
      </c>
      <c r="BB40" s="446">
        <f t="shared" ca="1" si="32"/>
        <v>9.3491323234100643E-2</v>
      </c>
      <c r="BC40" s="446">
        <f t="shared" ca="1" si="32"/>
        <v>7.2727918511496209E-2</v>
      </c>
      <c r="BD40" s="446">
        <f t="shared" ca="1" si="32"/>
        <v>2.1419503032755478E-2</v>
      </c>
      <c r="BE40" s="446">
        <f t="shared" ca="1" si="32"/>
        <v>6.6453174723468027E-3</v>
      </c>
      <c r="BF40" s="446">
        <f t="shared" ca="1" si="32"/>
        <v>2.162592249930379E-3</v>
      </c>
      <c r="BG40" s="446">
        <f t="shared" ca="1" si="32"/>
        <v>7.3545789020212676E-4</v>
      </c>
      <c r="BH40" s="446">
        <f t="shared" ca="1" si="32"/>
        <v>2.6050818097115674E-4</v>
      </c>
      <c r="BI40" s="446">
        <f t="shared" ca="1" si="32"/>
        <v>9.5825042126049609E-5</v>
      </c>
      <c r="BJ40" s="446">
        <f t="shared" ca="1" si="32"/>
        <v>1.4371112064024029E-5</v>
      </c>
      <c r="BK40" s="446">
        <f t="shared" ca="1" si="32"/>
        <v>2.4361300952740459E-6</v>
      </c>
      <c r="BL40" s="446">
        <f t="shared" ca="1" si="33"/>
        <v>4.5989073687526021E-7</v>
      </c>
      <c r="BM40" s="446">
        <f t="shared" ca="1" si="33"/>
        <v>9.5500602096111851E-8</v>
      </c>
      <c r="BN40" s="446">
        <f t="shared" ca="1" si="33"/>
        <v>2.1591159903792561E-8</v>
      </c>
      <c r="BO40" s="446">
        <f t="shared" ca="1" si="33"/>
        <v>5.2683560638617833E-9</v>
      </c>
      <c r="BP40" s="446">
        <f t="shared" ca="1" si="33"/>
        <v>1.3771124189332822E-9</v>
      </c>
      <c r="BQ40" s="446">
        <f t="shared" ca="1" si="33"/>
        <v>3.8315657050208449E-10</v>
      </c>
      <c r="BR40" s="446">
        <f t="shared" ca="1" si="33"/>
        <v>1.128455686875228E-10</v>
      </c>
      <c r="BS40" s="446">
        <f t="shared" ca="1" si="33"/>
        <v>3.5009898601724656E-11</v>
      </c>
      <c r="BT40" s="446">
        <f t="shared" ca="1" si="33"/>
        <v>1.1393305993581078E-11</v>
      </c>
      <c r="BU40" s="446">
        <f t="shared" ca="1" si="33"/>
        <v>3.8746540355613299E-12</v>
      </c>
      <c r="BV40" s="446">
        <f t="shared" ca="1" si="34"/>
        <v>1.3724498549049843E-12</v>
      </c>
      <c r="BW40" s="446">
        <f t="shared" ca="1" si="34"/>
        <v>5.048404417545798E-13</v>
      </c>
      <c r="BX40" s="446">
        <f t="shared" ca="1" si="34"/>
        <v>1.9233355447427108E-13</v>
      </c>
      <c r="BY40" s="446">
        <f t="shared" ca="1" si="34"/>
        <v>7.5712135386937272E-14</v>
      </c>
      <c r="BZ40" s="446">
        <f t="shared" ca="1" si="34"/>
        <v>1.0917640267898823E-15</v>
      </c>
      <c r="CA40" s="446">
        <f t="shared" ca="1" si="34"/>
        <v>2.7755575615629024E-17</v>
      </c>
      <c r="CB40" s="446">
        <f t="shared" ca="1" si="34"/>
        <v>1.088067582252229E-18</v>
      </c>
      <c r="CC40" s="446">
        <f t="shared" ca="1" si="34"/>
        <v>4.3654200511813389E-21</v>
      </c>
      <c r="CD40" s="446">
        <f t="shared" ca="1" si="34"/>
        <v>4.4145119046414171E-23</v>
      </c>
      <c r="CE40" s="446">
        <f t="shared" ca="1" si="34"/>
        <v>8.6261152589082056E-25</v>
      </c>
      <c r="CF40" s="446">
        <f t="shared" ca="1" si="34"/>
        <v>2.7604478241605108E-26</v>
      </c>
      <c r="CG40" s="446">
        <f t="shared" ca="1" si="34"/>
        <v>1.2959876248538521E-27</v>
      </c>
      <c r="CH40" s="446"/>
      <c r="CI40" s="446"/>
    </row>
    <row r="41" spans="1:87">
      <c r="A41" s="108">
        <f>IF(OR(A40=Abandonment!$B$4,A40=""),"",'Success Cash Flow'!A40+1)</f>
        <v>2054</v>
      </c>
      <c r="B41" s="196">
        <f ca="1">Revenue!S42*'Selected Economics'!$H42</f>
        <v>36.323402689913962</v>
      </c>
      <c r="C41" s="196">
        <f ca="1">Revenue!T42*'Selected Economics'!$H42</f>
        <v>347.70064349849031</v>
      </c>
      <c r="D41" s="196">
        <f ca="1">Revenue!U42*'Selected Economics'!$H42</f>
        <v>0</v>
      </c>
      <c r="E41" s="196">
        <f t="shared" ca="1" si="18"/>
        <v>384.02404618840427</v>
      </c>
      <c r="F41" s="196">
        <f ca="1">Exploration!X68*'Selected Economics'!$H42</f>
        <v>0</v>
      </c>
      <c r="G41" s="196"/>
      <c r="H41" s="196">
        <f ca="1">Development!CC123*'Selected Economics'!$H42</f>
        <v>0</v>
      </c>
      <c r="I41" s="196">
        <f ca="1">Abandonment!K47*'Selected Economics'!$H42</f>
        <v>0</v>
      </c>
      <c r="J41" s="196">
        <f ca="1">Operations!P50</f>
        <v>351.09155474954565</v>
      </c>
      <c r="K41" s="196">
        <f t="shared" ca="1" si="8"/>
        <v>351.09155474954565</v>
      </c>
      <c r="L41" s="196">
        <f t="shared" ca="1" si="9"/>
        <v>32.932491438858619</v>
      </c>
      <c r="M41" s="196">
        <f ca="1">Royalty!AM43*Development!$BT$89*'Selected Economics'!$H42</f>
        <v>19.201202309420214</v>
      </c>
      <c r="N41" s="196">
        <f ca="1">'Provincial Tax'!X41*Development!$BT$89*'Selected Economics'!$H42</f>
        <v>1.5826443383661499</v>
      </c>
      <c r="O41" s="196">
        <f ca="1">'Federal Tax'!X42*Development!$BT$89*'Selected Economics'!$H42</f>
        <v>-2.5858436329105685</v>
      </c>
      <c r="P41" s="196">
        <f t="shared" ca="1" si="10"/>
        <v>18.198003014875798</v>
      </c>
      <c r="Q41" s="196">
        <f t="shared" ca="1" si="11"/>
        <v>14.734488423982821</v>
      </c>
      <c r="R41" s="122"/>
      <c r="S41" s="122">
        <f t="shared" ref="S41:S42" ca="1" si="35">J41*AH41</f>
        <v>23.212870894453928</v>
      </c>
      <c r="T41" s="402"/>
      <c r="U41" s="402"/>
      <c r="V41" s="402"/>
      <c r="W41" s="402"/>
      <c r="X41" s="402"/>
      <c r="Y41" s="402"/>
      <c r="Z41" s="1"/>
      <c r="AA41" s="1"/>
      <c r="AB41" s="1"/>
      <c r="AC41" s="440"/>
      <c r="AD41" s="482">
        <f>IF(Thresholds!$E$1=Lists!$A$9,Exploration!U68-'Deposit Recovery'!V47,IF(Thresholds!$E$1=Lists!$A$10,Exploration!V68-'Deposit Recovery'!W47,IF(Thresholds!$E$1=Lists!$A$11,Exploration!W68-'Deposit Recovery'!X47,IF(Thresholds!$E$1=Lists!$A$12,Development!AY123,Development!BI123-Development!AY123))))</f>
        <v>0</v>
      </c>
      <c r="AE41" s="482">
        <f t="shared" ca="1" si="19"/>
        <v>0</v>
      </c>
      <c r="AF41" s="447">
        <f ca="1">AH41*IF(Input!$B$3="Real",'Selected Economics'!H42,1)</f>
        <v>6.6116289555905275E-2</v>
      </c>
      <c r="AG41" s="449">
        <f t="shared" ca="1" si="12"/>
        <v>6.6116289555905275E-2</v>
      </c>
      <c r="AH41" s="449">
        <f t="shared" ca="1" si="30"/>
        <v>6.6116289555905275E-2</v>
      </c>
      <c r="AI41" s="446">
        <f t="shared" ca="1" si="30"/>
        <v>9.9999999999999552E+56</v>
      </c>
      <c r="AJ41" s="446">
        <f t="shared" ca="1" si="30"/>
        <v>3.1622776601684169E+28</v>
      </c>
      <c r="AK41" s="446">
        <f t="shared" ca="1" si="30"/>
        <v>8.330002343281333E+19</v>
      </c>
      <c r="AL41" s="446">
        <f t="shared" ca="1" si="30"/>
        <v>798075981125854.75</v>
      </c>
      <c r="AM41" s="446">
        <f t="shared" ca="1" si="30"/>
        <v>219427091786.04572</v>
      </c>
      <c r="AN41" s="446">
        <f t="shared" ca="1" si="30"/>
        <v>379625062.49700886</v>
      </c>
      <c r="AO41" s="446">
        <f t="shared" ca="1" si="30"/>
        <v>2102274.2172934231</v>
      </c>
      <c r="AP41" s="446">
        <f t="shared" ca="1" si="30"/>
        <v>25983.991147057179</v>
      </c>
      <c r="AQ41" s="446">
        <f t="shared" ca="1" si="30"/>
        <v>578.01002479328042</v>
      </c>
      <c r="AR41" s="446">
        <f t="shared" ca="1" si="31"/>
        <v>20.141345577354606</v>
      </c>
      <c r="AS41" s="446">
        <f t="shared" ca="1" si="31"/>
        <v>1.0000000000000031</v>
      </c>
      <c r="AT41" s="446">
        <f t="shared" ca="1" si="31"/>
        <v>0.75307953746619416</v>
      </c>
      <c r="AU41" s="446">
        <f t="shared" ca="1" si="31"/>
        <v>0.56871555229701665</v>
      </c>
      <c r="AV41" s="446">
        <f t="shared" ca="1" si="31"/>
        <v>0.43066452170381053</v>
      </c>
      <c r="AW41" s="446">
        <f t="shared" ca="1" si="31"/>
        <v>0.32700156411549436</v>
      </c>
      <c r="AX41" s="446">
        <f t="shared" ca="1" si="31"/>
        <v>0.24894589909664319</v>
      </c>
      <c r="AY41" s="446">
        <f t="shared" ca="1" si="31"/>
        <v>0.19001279223540135</v>
      </c>
      <c r="AZ41" s="446">
        <f t="shared" ca="1" si="31"/>
        <v>0.14539930678955915</v>
      </c>
      <c r="BA41" s="446">
        <f t="shared" ca="1" si="31"/>
        <v>0.11153802973480743</v>
      </c>
      <c r="BB41" s="446">
        <f t="shared" ca="1" si="32"/>
        <v>8.577185617807398E-2</v>
      </c>
      <c r="BC41" s="446">
        <f t="shared" ca="1" si="32"/>
        <v>6.611628955590565E-2</v>
      </c>
      <c r="BD41" s="446">
        <f t="shared" ca="1" si="32"/>
        <v>1.862565481109172E-2</v>
      </c>
      <c r="BE41" s="446">
        <f t="shared" ca="1" si="32"/>
        <v>5.537764560289005E-3</v>
      </c>
      <c r="BF41" s="446">
        <f t="shared" ca="1" si="32"/>
        <v>1.7300737999443032E-3</v>
      </c>
      <c r="BG41" s="446">
        <f t="shared" ca="1" si="32"/>
        <v>5.657368386170204E-4</v>
      </c>
      <c r="BH41" s="446">
        <f t="shared" ca="1" si="32"/>
        <v>1.9296902294159779E-4</v>
      </c>
      <c r="BI41" s="446">
        <f t="shared" ca="1" si="32"/>
        <v>6.8446458661464062E-5</v>
      </c>
      <c r="BJ41" s="446">
        <f t="shared" ca="1" si="32"/>
        <v>9.5807413760160248E-6</v>
      </c>
      <c r="BK41" s="446">
        <f t="shared" ca="1" si="32"/>
        <v>1.5225813095462796E-6</v>
      </c>
      <c r="BL41" s="446">
        <f t="shared" ca="1" si="33"/>
        <v>2.7052396286780065E-7</v>
      </c>
      <c r="BM41" s="446">
        <f t="shared" ca="1" si="33"/>
        <v>5.3055890053395495E-8</v>
      </c>
      <c r="BN41" s="446">
        <f t="shared" ca="1" si="33"/>
        <v>1.1363768370417132E-8</v>
      </c>
      <c r="BO41" s="446">
        <f t="shared" ca="1" si="33"/>
        <v>2.6341780319308962E-9</v>
      </c>
      <c r="BP41" s="446">
        <f t="shared" ca="1" si="33"/>
        <v>6.5576781853965917E-10</v>
      </c>
      <c r="BQ41" s="446">
        <f t="shared" ca="1" si="33"/>
        <v>1.7416207750094766E-10</v>
      </c>
      <c r="BR41" s="446">
        <f t="shared" ca="1" si="33"/>
        <v>4.9063290733705445E-11</v>
      </c>
      <c r="BS41" s="446">
        <f t="shared" ca="1" si="33"/>
        <v>1.4587457750718574E-11</v>
      </c>
      <c r="BT41" s="446">
        <f t="shared" ca="1" si="33"/>
        <v>4.5573223974324269E-12</v>
      </c>
      <c r="BU41" s="446">
        <f t="shared" ca="1" si="33"/>
        <v>1.4902515521389727E-12</v>
      </c>
      <c r="BV41" s="446">
        <f t="shared" ca="1" si="34"/>
        <v>5.0831476107592053E-13</v>
      </c>
      <c r="BW41" s="446">
        <f t="shared" ca="1" si="34"/>
        <v>1.8030015776949261E-13</v>
      </c>
      <c r="BX41" s="446">
        <f t="shared" ca="1" si="34"/>
        <v>6.632191533595558E-14</v>
      </c>
      <c r="BY41" s="446">
        <f t="shared" ca="1" si="34"/>
        <v>2.5237378462312394E-14</v>
      </c>
      <c r="BZ41" s="446">
        <f t="shared" ca="1" si="34"/>
        <v>3.1193257908282126E-16</v>
      </c>
      <c r="CA41" s="446">
        <f t="shared" ca="1" si="34"/>
        <v>6.9388939039072315E-18</v>
      </c>
      <c r="CB41" s="446">
        <f t="shared" ca="1" si="34"/>
        <v>2.4179279605605074E-19</v>
      </c>
      <c r="CC41" s="446">
        <f t="shared" ca="1" si="34"/>
        <v>7.9371273657843083E-22</v>
      </c>
      <c r="CD41" s="446">
        <f t="shared" ca="1" si="34"/>
        <v>6.7915567763714257E-24</v>
      </c>
      <c r="CE41" s="446">
        <f t="shared" ca="1" si="34"/>
        <v>1.1501487011877625E-25</v>
      </c>
      <c r="CF41" s="446">
        <f t="shared" ca="1" si="34"/>
        <v>3.2475856754829739E-27</v>
      </c>
      <c r="CG41" s="446">
        <f t="shared" ca="1" si="34"/>
        <v>1.3641974998461507E-28</v>
      </c>
      <c r="CH41" s="446"/>
      <c r="CI41" s="446"/>
    </row>
    <row r="42" spans="1:87">
      <c r="A42" s="108">
        <f>IF(OR(A41=Abandonment!$B$4,A41=""),"",'Success Cash Flow'!A41+1)</f>
        <v>2055</v>
      </c>
      <c r="B42" s="196">
        <f ca="1">Revenue!S43*'Selected Economics'!$H43</f>
        <v>0</v>
      </c>
      <c r="C42" s="196">
        <f ca="1">Revenue!T43*'Selected Economics'!$H43</f>
        <v>0</v>
      </c>
      <c r="D42" s="196">
        <f ca="1">Revenue!U43*'Selected Economics'!$H43</f>
        <v>0</v>
      </c>
      <c r="E42" s="196">
        <f t="shared" ca="1" si="18"/>
        <v>0</v>
      </c>
      <c r="F42" s="196">
        <f ca="1">Exploration!X69*'Selected Economics'!$H43</f>
        <v>0</v>
      </c>
      <c r="G42" s="196"/>
      <c r="H42" s="196">
        <f ca="1">Development!CC124*'Selected Economics'!$H43</f>
        <v>0</v>
      </c>
      <c r="I42" s="196">
        <f ca="1">Abandonment!K48*'Selected Economics'!$H43</f>
        <v>529.6306607920867</v>
      </c>
      <c r="J42" s="196">
        <f ca="1">Operations!P51</f>
        <v>0</v>
      </c>
      <c r="K42" s="196">
        <f t="shared" ca="1" si="8"/>
        <v>529.6306607920867</v>
      </c>
      <c r="L42" s="196">
        <f t="shared" ca="1" si="9"/>
        <v>-529.6306607920867</v>
      </c>
      <c r="M42" s="196">
        <f ca="1">Royalty!AM44*Development!$BT$89*'Selected Economics'!$H43</f>
        <v>-111.12391802903301</v>
      </c>
      <c r="N42" s="196">
        <f ca="1">'Provincial Tax'!X42*Development!$BT$89*'Selected Economics'!$H43</f>
        <v>-26.866128404647341</v>
      </c>
      <c r="O42" s="196">
        <f ca="1">'Federal Tax'!X43*Development!$BT$89*'Selected Economics'!$H43</f>
        <v>-17.364976377233578</v>
      </c>
      <c r="P42" s="196">
        <f t="shared" ca="1" si="10"/>
        <v>-155.35502281091391</v>
      </c>
      <c r="Q42" s="196">
        <f t="shared" ca="1" si="11"/>
        <v>-374.27563798117279</v>
      </c>
      <c r="R42" s="122"/>
      <c r="S42" s="122">
        <f t="shared" ca="1" si="35"/>
        <v>0</v>
      </c>
      <c r="T42" s="402"/>
      <c r="U42" s="402"/>
      <c r="V42" s="402"/>
      <c r="W42" s="402"/>
      <c r="X42" s="402"/>
      <c r="Y42" s="402"/>
      <c r="Z42" s="1"/>
      <c r="AA42" s="1"/>
      <c r="AB42" s="1"/>
      <c r="AC42" s="440"/>
      <c r="AD42" s="482">
        <f>IF(Thresholds!$E$1=Lists!$A$9,Exploration!U69-'Deposit Recovery'!V48,IF(Thresholds!$E$1=Lists!$A$10,Exploration!V69-'Deposit Recovery'!W48,IF(Thresholds!$E$1=Lists!$A$11,Exploration!W69-'Deposit Recovery'!X48,IF(Thresholds!$E$1=Lists!$A$12,Development!AY124,Development!BI124-Development!AY124))))</f>
        <v>0</v>
      </c>
      <c r="AE42" s="482">
        <f t="shared" ca="1" si="19"/>
        <v>0</v>
      </c>
      <c r="AF42" s="447">
        <f ca="1">AH42*IF(Input!$B$3="Real",'Selected Economics'!H43,1)</f>
        <v>6.0105717778095702E-2</v>
      </c>
      <c r="AG42" s="449"/>
      <c r="AH42" s="449">
        <f t="shared" ca="1" si="30"/>
        <v>6.0105717778095702E-2</v>
      </c>
      <c r="AI42" s="446">
        <f t="shared" ca="1" si="30"/>
        <v>9.9999999999997633E+58</v>
      </c>
      <c r="AJ42" s="446">
        <f t="shared" ca="1" si="30"/>
        <v>3.1622776601683869E+29</v>
      </c>
      <c r="AK42" s="446">
        <f t="shared" ca="1" si="30"/>
        <v>4.1650011716406778E+20</v>
      </c>
      <c r="AL42" s="446">
        <f t="shared" ca="1" si="30"/>
        <v>2660253270419515.5</v>
      </c>
      <c r="AM42" s="446">
        <f t="shared" ca="1" si="30"/>
        <v>548567729465.11292</v>
      </c>
      <c r="AN42" s="446">
        <f t="shared" ca="1" si="30"/>
        <v>759250124.99401641</v>
      </c>
      <c r="AO42" s="446">
        <f t="shared" ca="1" si="30"/>
        <v>3503790.3621557043</v>
      </c>
      <c r="AP42" s="446">
        <f t="shared" ca="1" si="30"/>
        <v>37119.987352938871</v>
      </c>
      <c r="AQ42" s="446">
        <f t="shared" ca="1" si="30"/>
        <v>722.51253099160112</v>
      </c>
      <c r="AR42" s="446">
        <f t="shared" ca="1" si="31"/>
        <v>22.379272863727341</v>
      </c>
      <c r="AS42" s="446">
        <f t="shared" ca="1" si="31"/>
        <v>1.0000000000000033</v>
      </c>
      <c r="AT42" s="446">
        <f t="shared" ca="1" si="31"/>
        <v>0.74562330442197455</v>
      </c>
      <c r="AU42" s="446">
        <f t="shared" ca="1" si="31"/>
        <v>0.55756426695785966</v>
      </c>
      <c r="AV42" s="446">
        <f t="shared" ca="1" si="31"/>
        <v>0.41812089485806858</v>
      </c>
      <c r="AW42" s="446">
        <f t="shared" ca="1" si="31"/>
        <v>0.31442458088028308</v>
      </c>
      <c r="AX42" s="446">
        <f t="shared" ca="1" si="31"/>
        <v>0.23709133247299349</v>
      </c>
      <c r="AY42" s="446">
        <f t="shared" ca="1" si="31"/>
        <v>0.17925735116547301</v>
      </c>
      <c r="AZ42" s="446">
        <f t="shared" ca="1" si="31"/>
        <v>0.13588720260706466</v>
      </c>
      <c r="BA42" s="446">
        <f t="shared" ca="1" si="31"/>
        <v>0.10327595345815502</v>
      </c>
      <c r="BB42" s="446">
        <f t="shared" ca="1" si="32"/>
        <v>7.8689776310159637E-2</v>
      </c>
      <c r="BC42" s="446">
        <f t="shared" ca="1" si="32"/>
        <v>6.0105717778096049E-2</v>
      </c>
      <c r="BD42" s="446">
        <f t="shared" ca="1" si="32"/>
        <v>1.6196221574862363E-2</v>
      </c>
      <c r="BE42" s="446">
        <f t="shared" ca="1" si="32"/>
        <v>4.6148038002408404E-3</v>
      </c>
      <c r="BF42" s="446">
        <f t="shared" ca="1" si="32"/>
        <v>1.3840590399554426E-3</v>
      </c>
      <c r="BG42" s="446">
        <f t="shared" ca="1" si="32"/>
        <v>4.3518218355155448E-4</v>
      </c>
      <c r="BH42" s="446">
        <f t="shared" ca="1" si="32"/>
        <v>1.4294001699377605E-4</v>
      </c>
      <c r="BI42" s="446">
        <f t="shared" ca="1" si="32"/>
        <v>4.8890327615331437E-5</v>
      </c>
      <c r="BJ42" s="446">
        <f t="shared" ca="1" si="32"/>
        <v>6.3871609173440208E-6</v>
      </c>
      <c r="BK42" s="446">
        <f t="shared" ca="1" si="32"/>
        <v>9.5161331846642542E-7</v>
      </c>
      <c r="BL42" s="446">
        <f t="shared" ca="1" si="33"/>
        <v>1.5913174286341188E-7</v>
      </c>
      <c r="BM42" s="446">
        <f t="shared" ca="1" si="33"/>
        <v>2.9475494474108623E-8</v>
      </c>
      <c r="BN42" s="446">
        <f t="shared" ca="1" si="33"/>
        <v>5.9809307212721722E-9</v>
      </c>
      <c r="BO42" s="446">
        <f t="shared" ca="1" si="33"/>
        <v>1.3170890159654502E-9</v>
      </c>
      <c r="BP42" s="446">
        <f t="shared" ca="1" si="33"/>
        <v>3.1227038978078946E-10</v>
      </c>
      <c r="BQ42" s="446">
        <f t="shared" ca="1" si="33"/>
        <v>7.9164580682249E-11</v>
      </c>
      <c r="BR42" s="446">
        <f t="shared" ca="1" si="33"/>
        <v>2.1331865536393695E-11</v>
      </c>
      <c r="BS42" s="446">
        <f t="shared" ca="1" si="33"/>
        <v>6.0781073961327476E-12</v>
      </c>
      <c r="BT42" s="446">
        <f t="shared" ca="1" si="33"/>
        <v>1.8229289589729689E-12</v>
      </c>
      <c r="BU42" s="446">
        <f t="shared" ca="1" si="33"/>
        <v>5.7317367389960469E-13</v>
      </c>
      <c r="BV42" s="446">
        <f t="shared" ca="1" si="34"/>
        <v>1.8826472632441456E-13</v>
      </c>
      <c r="BW42" s="446">
        <f t="shared" ca="1" si="34"/>
        <v>6.4392913489104442E-14</v>
      </c>
      <c r="BX42" s="446">
        <f t="shared" ca="1" si="34"/>
        <v>2.2869625977915731E-14</v>
      </c>
      <c r="BY42" s="446">
        <f t="shared" ca="1" si="34"/>
        <v>8.4124594874374843E-15</v>
      </c>
      <c r="BZ42" s="446">
        <f t="shared" ca="1" si="34"/>
        <v>8.9123594023663848E-17</v>
      </c>
      <c r="CA42" s="446">
        <f t="shared" ca="1" si="34"/>
        <v>1.7347234759768133E-18</v>
      </c>
      <c r="CB42" s="446">
        <f t="shared" ca="1" si="34"/>
        <v>5.3731732456900141E-20</v>
      </c>
      <c r="CC42" s="446">
        <f t="shared" ca="1" si="34"/>
        <v>1.4431140665062277E-22</v>
      </c>
      <c r="CD42" s="446">
        <f t="shared" ca="1" si="34"/>
        <v>1.044854888672522E-24</v>
      </c>
      <c r="CE42" s="446">
        <f t="shared" ca="1" si="34"/>
        <v>1.5335316015836746E-26</v>
      </c>
      <c r="CF42" s="446">
        <f t="shared" ca="1" si="34"/>
        <v>3.820689029979966E-28</v>
      </c>
      <c r="CG42" s="446">
        <f t="shared" ca="1" si="34"/>
        <v>1.4359973682591166E-29</v>
      </c>
      <c r="CH42" s="446"/>
      <c r="CI42" s="446"/>
    </row>
    <row r="43" spans="1:87">
      <c r="A43" s="108" t="str">
        <f>IF(OR(A42=Abandonment!$B$4,A42=""),"",'Success Cash Flow'!A42+1)</f>
        <v/>
      </c>
      <c r="B43" s="196">
        <f ca="1">Revenue!S44*'Selected Economics'!$H44</f>
        <v>0</v>
      </c>
      <c r="C43" s="196">
        <f ca="1">Revenue!T44*'Selected Economics'!$H44</f>
        <v>0</v>
      </c>
      <c r="D43" s="196">
        <f ca="1">Revenue!U44*'Selected Economics'!$H44</f>
        <v>0</v>
      </c>
      <c r="E43" s="196">
        <f t="shared" ca="1" si="18"/>
        <v>0</v>
      </c>
      <c r="F43" s="196">
        <f ca="1">Exploration!X70*'Selected Economics'!$H44</f>
        <v>0</v>
      </c>
      <c r="G43" s="196"/>
      <c r="H43" s="196">
        <f ca="1">Development!CC125*'Selected Economics'!$H44</f>
        <v>0</v>
      </c>
      <c r="I43" s="196">
        <f ca="1">Abandonment!K49*'Selected Economics'!$H44</f>
        <v>0</v>
      </c>
      <c r="J43" s="196">
        <f ca="1">Operations!P52</f>
        <v>0</v>
      </c>
      <c r="K43" s="196">
        <f t="shared" ca="1" si="8"/>
        <v>0</v>
      </c>
      <c r="L43" s="196">
        <f t="shared" ca="1" si="9"/>
        <v>0</v>
      </c>
      <c r="M43" s="196">
        <f ca="1">Royalty!AM45*Development!$BT$89*'Selected Economics'!$H44</f>
        <v>0</v>
      </c>
      <c r="N43" s="196">
        <f ca="1">'Provincial Tax'!X43*Development!$BT$89*'Selected Economics'!$H44</f>
        <v>0</v>
      </c>
      <c r="O43" s="196">
        <f ca="1">'Federal Tax'!X44*Development!$BT$89*'Selected Economics'!$H44</f>
        <v>0</v>
      </c>
      <c r="P43" s="196">
        <f t="shared" ca="1" si="10"/>
        <v>0</v>
      </c>
      <c r="Q43" s="196">
        <f t="shared" ca="1" si="11"/>
        <v>0</v>
      </c>
      <c r="R43" s="122"/>
      <c r="S43" s="122"/>
      <c r="T43" s="402"/>
      <c r="U43" s="402"/>
      <c r="V43" s="402"/>
      <c r="W43" s="402"/>
      <c r="X43" s="402"/>
      <c r="Y43" s="402"/>
      <c r="Z43" s="1"/>
      <c r="AA43" s="1"/>
      <c r="AB43" s="1"/>
      <c r="AC43" s="440"/>
      <c r="AD43" s="482">
        <f>IF(Thresholds!$E$1=Lists!$A$9,Exploration!U70-'Deposit Recovery'!V49,IF(Thresholds!$E$1=Lists!$A$10,Exploration!V70-'Deposit Recovery'!W49,IF(Thresholds!$E$1=Lists!$A$11,Exploration!W70-'Deposit Recovery'!X49,IF(Thresholds!$E$1=Lists!$A$12,Development!AY125,Development!BI125-Development!AY125))))</f>
        <v>0</v>
      </c>
      <c r="AE43" s="482">
        <f t="shared" ca="1" si="19"/>
        <v>0</v>
      </c>
      <c r="AF43" s="447">
        <f ca="1">AH43*IF(Input!$B$3="Real",'Selected Economics'!H44,1)</f>
        <v>0</v>
      </c>
      <c r="AG43" s="449"/>
      <c r="AH43" s="449">
        <f t="shared" ca="1" si="30"/>
        <v>0</v>
      </c>
      <c r="AI43" s="446">
        <f t="shared" ca="1" si="30"/>
        <v>0</v>
      </c>
      <c r="AJ43" s="446">
        <f t="shared" ca="1" si="30"/>
        <v>0</v>
      </c>
      <c r="AK43" s="446">
        <f t="shared" ca="1" si="30"/>
        <v>0</v>
      </c>
      <c r="AL43" s="446">
        <f t="shared" ca="1" si="30"/>
        <v>0</v>
      </c>
      <c r="AM43" s="446">
        <f t="shared" ca="1" si="30"/>
        <v>0</v>
      </c>
      <c r="AN43" s="446">
        <f t="shared" ca="1" si="30"/>
        <v>0</v>
      </c>
      <c r="AO43" s="446">
        <f t="shared" ca="1" si="30"/>
        <v>0</v>
      </c>
      <c r="AP43" s="446">
        <f t="shared" ca="1" si="30"/>
        <v>0</v>
      </c>
      <c r="AQ43" s="446">
        <f t="shared" ca="1" si="30"/>
        <v>0</v>
      </c>
      <c r="AR43" s="446">
        <f t="shared" ca="1" si="31"/>
        <v>0</v>
      </c>
      <c r="AS43" s="446">
        <f t="shared" ca="1" si="31"/>
        <v>0</v>
      </c>
      <c r="AT43" s="446">
        <f t="shared" ca="1" si="31"/>
        <v>0</v>
      </c>
      <c r="AU43" s="446">
        <f t="shared" ca="1" si="31"/>
        <v>0</v>
      </c>
      <c r="AV43" s="446">
        <f t="shared" ca="1" si="31"/>
        <v>0</v>
      </c>
      <c r="AW43" s="446">
        <f t="shared" ca="1" si="31"/>
        <v>0</v>
      </c>
      <c r="AX43" s="446">
        <f t="shared" ca="1" si="31"/>
        <v>0</v>
      </c>
      <c r="AY43" s="446">
        <f t="shared" ca="1" si="31"/>
        <v>0</v>
      </c>
      <c r="AZ43" s="446">
        <f t="shared" ca="1" si="31"/>
        <v>0</v>
      </c>
      <c r="BA43" s="446">
        <f t="shared" ca="1" si="31"/>
        <v>0</v>
      </c>
      <c r="BB43" s="446">
        <f t="shared" ca="1" si="32"/>
        <v>0</v>
      </c>
      <c r="BC43" s="446">
        <f t="shared" ca="1" si="32"/>
        <v>0</v>
      </c>
      <c r="BD43" s="446">
        <f t="shared" ca="1" si="32"/>
        <v>0</v>
      </c>
      <c r="BE43" s="446">
        <f t="shared" ca="1" si="32"/>
        <v>0</v>
      </c>
      <c r="BF43" s="446">
        <f t="shared" ca="1" si="32"/>
        <v>0</v>
      </c>
      <c r="BG43" s="446">
        <f t="shared" ca="1" si="32"/>
        <v>0</v>
      </c>
      <c r="BH43" s="446">
        <f t="shared" ca="1" si="32"/>
        <v>0</v>
      </c>
      <c r="BI43" s="446">
        <f t="shared" ca="1" si="32"/>
        <v>0</v>
      </c>
      <c r="BJ43" s="446">
        <f t="shared" ca="1" si="32"/>
        <v>0</v>
      </c>
      <c r="BK43" s="446">
        <f t="shared" ca="1" si="32"/>
        <v>0</v>
      </c>
      <c r="BL43" s="446">
        <f t="shared" ca="1" si="33"/>
        <v>0</v>
      </c>
      <c r="BM43" s="446">
        <f t="shared" ca="1" si="33"/>
        <v>0</v>
      </c>
      <c r="BN43" s="446">
        <f t="shared" ca="1" si="33"/>
        <v>0</v>
      </c>
      <c r="BO43" s="446">
        <f t="shared" ca="1" si="33"/>
        <v>0</v>
      </c>
      <c r="BP43" s="446">
        <f t="shared" ca="1" si="33"/>
        <v>0</v>
      </c>
      <c r="BQ43" s="446">
        <f t="shared" ca="1" si="33"/>
        <v>0</v>
      </c>
      <c r="BR43" s="446">
        <f t="shared" ca="1" si="33"/>
        <v>0</v>
      </c>
      <c r="BS43" s="446">
        <f t="shared" ca="1" si="33"/>
        <v>0</v>
      </c>
      <c r="BT43" s="446">
        <f t="shared" ca="1" si="33"/>
        <v>0</v>
      </c>
      <c r="BU43" s="446">
        <f t="shared" ca="1" si="33"/>
        <v>0</v>
      </c>
      <c r="BV43" s="446">
        <f t="shared" ca="1" si="34"/>
        <v>0</v>
      </c>
      <c r="BW43" s="446">
        <f t="shared" ca="1" si="34"/>
        <v>0</v>
      </c>
      <c r="BX43" s="446">
        <f t="shared" ca="1" si="34"/>
        <v>0</v>
      </c>
      <c r="BY43" s="446">
        <f t="shared" ca="1" si="34"/>
        <v>0</v>
      </c>
      <c r="BZ43" s="446">
        <f t="shared" ca="1" si="34"/>
        <v>0</v>
      </c>
      <c r="CA43" s="446">
        <f t="shared" ca="1" si="34"/>
        <v>0</v>
      </c>
      <c r="CB43" s="446">
        <f t="shared" ca="1" si="34"/>
        <v>0</v>
      </c>
      <c r="CC43" s="446">
        <f t="shared" ca="1" si="34"/>
        <v>0</v>
      </c>
      <c r="CD43" s="446">
        <f t="shared" ca="1" si="34"/>
        <v>0</v>
      </c>
      <c r="CE43" s="446">
        <f t="shared" ca="1" si="34"/>
        <v>0</v>
      </c>
      <c r="CF43" s="446">
        <f t="shared" ca="1" si="34"/>
        <v>0</v>
      </c>
      <c r="CG43" s="446">
        <f t="shared" ca="1" si="34"/>
        <v>0</v>
      </c>
      <c r="CH43" s="446"/>
      <c r="CI43" s="446"/>
    </row>
    <row r="44" spans="1:87">
      <c r="A44" s="108" t="str">
        <f>IF(OR(A43=Abandonment!$B$4,A43=""),"",'Success Cash Flow'!A43+1)</f>
        <v/>
      </c>
      <c r="B44" s="196">
        <f ca="1">Revenue!S45*'Selected Economics'!$H45</f>
        <v>0</v>
      </c>
      <c r="C44" s="196">
        <f ca="1">Revenue!T45*'Selected Economics'!$H45</f>
        <v>0</v>
      </c>
      <c r="D44" s="196">
        <f ca="1">Revenue!U45*'Selected Economics'!$H45</f>
        <v>0</v>
      </c>
      <c r="E44" s="196">
        <f t="shared" ca="1" si="18"/>
        <v>0</v>
      </c>
      <c r="F44" s="196">
        <f ca="1">Exploration!X71*'Selected Economics'!$H45</f>
        <v>0</v>
      </c>
      <c r="G44" s="196"/>
      <c r="H44" s="196">
        <f ca="1">Development!CC126*'Selected Economics'!$H45</f>
        <v>0</v>
      </c>
      <c r="I44" s="196">
        <f ca="1">Abandonment!K50*'Selected Economics'!$H45</f>
        <v>0</v>
      </c>
      <c r="J44" s="196">
        <f ca="1">Operations!P53</f>
        <v>0</v>
      </c>
      <c r="K44" s="196">
        <f t="shared" ca="1" si="8"/>
        <v>0</v>
      </c>
      <c r="L44" s="196">
        <f t="shared" ca="1" si="9"/>
        <v>0</v>
      </c>
      <c r="M44" s="196">
        <f ca="1">Royalty!AM46*Development!$BT$89*'Selected Economics'!$H45</f>
        <v>0</v>
      </c>
      <c r="N44" s="196">
        <f ca="1">'Provincial Tax'!X44*Development!$BT$89*'Selected Economics'!$H45</f>
        <v>0</v>
      </c>
      <c r="O44" s="196">
        <f ca="1">'Federal Tax'!X45*Development!$BT$89*'Selected Economics'!$H45</f>
        <v>0</v>
      </c>
      <c r="P44" s="196">
        <f t="shared" ca="1" si="10"/>
        <v>0</v>
      </c>
      <c r="Q44" s="196">
        <f t="shared" ca="1" si="11"/>
        <v>0</v>
      </c>
      <c r="R44" s="122"/>
      <c r="S44" s="122"/>
      <c r="T44" s="402"/>
      <c r="U44" s="402"/>
      <c r="V44" s="402"/>
      <c r="W44" s="402"/>
      <c r="X44" s="402"/>
      <c r="Y44" s="402"/>
      <c r="Z44" s="1"/>
      <c r="AA44" s="1"/>
      <c r="AB44" s="1"/>
      <c r="AC44" s="440"/>
      <c r="AD44" s="482">
        <f>IF(Thresholds!$E$1=Lists!$A$9,Exploration!U71-'Deposit Recovery'!V50,IF(Thresholds!$E$1=Lists!$A$10,Exploration!V71-'Deposit Recovery'!W50,IF(Thresholds!$E$1=Lists!$A$11,Exploration!W71-'Deposit Recovery'!X50,IF(Thresholds!$E$1=Lists!$A$12,Development!AY126,Development!BI126-Development!AY126))))</f>
        <v>0</v>
      </c>
      <c r="AE44" s="482">
        <f t="shared" ca="1" si="19"/>
        <v>0</v>
      </c>
      <c r="AF44" s="447">
        <f ca="1">AH44*IF(Input!$B$3="Real",'Selected Economics'!H45,1)</f>
        <v>0</v>
      </c>
      <c r="AG44" s="449"/>
      <c r="AH44" s="449">
        <f t="shared" ca="1" si="30"/>
        <v>0</v>
      </c>
      <c r="AI44" s="446">
        <f t="shared" ca="1" si="30"/>
        <v>0</v>
      </c>
      <c r="AJ44" s="446">
        <f t="shared" ca="1" si="30"/>
        <v>0</v>
      </c>
      <c r="AK44" s="446">
        <f t="shared" ca="1" si="30"/>
        <v>0</v>
      </c>
      <c r="AL44" s="446">
        <f t="shared" ca="1" si="30"/>
        <v>0</v>
      </c>
      <c r="AM44" s="446">
        <f t="shared" ca="1" si="30"/>
        <v>0</v>
      </c>
      <c r="AN44" s="446">
        <f t="shared" ca="1" si="30"/>
        <v>0</v>
      </c>
      <c r="AO44" s="446">
        <f t="shared" ca="1" si="30"/>
        <v>0</v>
      </c>
      <c r="AP44" s="446">
        <f t="shared" ca="1" si="30"/>
        <v>0</v>
      </c>
      <c r="AQ44" s="446">
        <f t="shared" ca="1" si="30"/>
        <v>0</v>
      </c>
      <c r="AR44" s="446">
        <f t="shared" ca="1" si="31"/>
        <v>0</v>
      </c>
      <c r="AS44" s="446">
        <f t="shared" ca="1" si="31"/>
        <v>0</v>
      </c>
      <c r="AT44" s="446">
        <f t="shared" ca="1" si="31"/>
        <v>0</v>
      </c>
      <c r="AU44" s="446">
        <f t="shared" ca="1" si="31"/>
        <v>0</v>
      </c>
      <c r="AV44" s="446">
        <f t="shared" ca="1" si="31"/>
        <v>0</v>
      </c>
      <c r="AW44" s="446">
        <f t="shared" ca="1" si="31"/>
        <v>0</v>
      </c>
      <c r="AX44" s="446">
        <f t="shared" ca="1" si="31"/>
        <v>0</v>
      </c>
      <c r="AY44" s="446">
        <f t="shared" ca="1" si="31"/>
        <v>0</v>
      </c>
      <c r="AZ44" s="446">
        <f t="shared" ca="1" si="31"/>
        <v>0</v>
      </c>
      <c r="BA44" s="446">
        <f t="shared" ca="1" si="31"/>
        <v>0</v>
      </c>
      <c r="BB44" s="446">
        <f t="shared" ca="1" si="32"/>
        <v>0</v>
      </c>
      <c r="BC44" s="446">
        <f t="shared" ca="1" si="32"/>
        <v>0</v>
      </c>
      <c r="BD44" s="446">
        <f t="shared" ca="1" si="32"/>
        <v>0</v>
      </c>
      <c r="BE44" s="446">
        <f t="shared" ca="1" si="32"/>
        <v>0</v>
      </c>
      <c r="BF44" s="446">
        <f t="shared" ca="1" si="32"/>
        <v>0</v>
      </c>
      <c r="BG44" s="446">
        <f t="shared" ca="1" si="32"/>
        <v>0</v>
      </c>
      <c r="BH44" s="446">
        <f t="shared" ca="1" si="32"/>
        <v>0</v>
      </c>
      <c r="BI44" s="446">
        <f t="shared" ca="1" si="32"/>
        <v>0</v>
      </c>
      <c r="BJ44" s="446">
        <f t="shared" ca="1" si="32"/>
        <v>0</v>
      </c>
      <c r="BK44" s="446">
        <f t="shared" ca="1" si="32"/>
        <v>0</v>
      </c>
      <c r="BL44" s="446">
        <f t="shared" ca="1" si="33"/>
        <v>0</v>
      </c>
      <c r="BM44" s="446">
        <f t="shared" ca="1" si="33"/>
        <v>0</v>
      </c>
      <c r="BN44" s="446">
        <f t="shared" ca="1" si="33"/>
        <v>0</v>
      </c>
      <c r="BO44" s="446">
        <f t="shared" ca="1" si="33"/>
        <v>0</v>
      </c>
      <c r="BP44" s="446">
        <f t="shared" ca="1" si="33"/>
        <v>0</v>
      </c>
      <c r="BQ44" s="446">
        <f t="shared" ca="1" si="33"/>
        <v>0</v>
      </c>
      <c r="BR44" s="446">
        <f t="shared" ca="1" si="33"/>
        <v>0</v>
      </c>
      <c r="BS44" s="446">
        <f t="shared" ca="1" si="33"/>
        <v>0</v>
      </c>
      <c r="BT44" s="446">
        <f t="shared" ca="1" si="33"/>
        <v>0</v>
      </c>
      <c r="BU44" s="446">
        <f t="shared" ca="1" si="33"/>
        <v>0</v>
      </c>
      <c r="BV44" s="446">
        <f t="shared" ca="1" si="34"/>
        <v>0</v>
      </c>
      <c r="BW44" s="446">
        <f t="shared" ca="1" si="34"/>
        <v>0</v>
      </c>
      <c r="BX44" s="446">
        <f t="shared" ca="1" si="34"/>
        <v>0</v>
      </c>
      <c r="BY44" s="446">
        <f t="shared" ca="1" si="34"/>
        <v>0</v>
      </c>
      <c r="BZ44" s="446">
        <f t="shared" ca="1" si="34"/>
        <v>0</v>
      </c>
      <c r="CA44" s="446">
        <f t="shared" ca="1" si="34"/>
        <v>0</v>
      </c>
      <c r="CB44" s="446">
        <f t="shared" ca="1" si="34"/>
        <v>0</v>
      </c>
      <c r="CC44" s="446">
        <f t="shared" ca="1" si="34"/>
        <v>0</v>
      </c>
      <c r="CD44" s="446">
        <f t="shared" ca="1" si="34"/>
        <v>0</v>
      </c>
      <c r="CE44" s="446">
        <f t="shared" ca="1" si="34"/>
        <v>0</v>
      </c>
      <c r="CF44" s="446">
        <f t="shared" ca="1" si="34"/>
        <v>0</v>
      </c>
      <c r="CG44" s="446">
        <f t="shared" ca="1" si="34"/>
        <v>0</v>
      </c>
      <c r="CH44" s="446"/>
      <c r="CI44" s="446"/>
    </row>
    <row r="45" spans="1:87">
      <c r="A45" s="108" t="str">
        <f>IF(OR(A44=Abandonment!$B$4,A44=""),"",'Success Cash Flow'!A44+1)</f>
        <v/>
      </c>
      <c r="B45" s="196">
        <f ca="1">Revenue!S46*'Selected Economics'!$H46</f>
        <v>0</v>
      </c>
      <c r="C45" s="196">
        <f ca="1">Revenue!T46*'Selected Economics'!$H46</f>
        <v>0</v>
      </c>
      <c r="D45" s="196">
        <f ca="1">Revenue!U46*'Selected Economics'!$H46</f>
        <v>0</v>
      </c>
      <c r="E45" s="196">
        <f t="shared" ca="1" si="18"/>
        <v>0</v>
      </c>
      <c r="F45" s="196">
        <f ca="1">Exploration!X72*'Selected Economics'!$H46</f>
        <v>0</v>
      </c>
      <c r="G45" s="196"/>
      <c r="H45" s="196">
        <f ca="1">Development!CC127*'Selected Economics'!$H46</f>
        <v>0</v>
      </c>
      <c r="I45" s="196">
        <f ca="1">Abandonment!K51*'Selected Economics'!$H46</f>
        <v>0</v>
      </c>
      <c r="J45" s="196">
        <f ca="1">Operations!P54</f>
        <v>0</v>
      </c>
      <c r="K45" s="196">
        <f t="shared" ca="1" si="8"/>
        <v>0</v>
      </c>
      <c r="L45" s="196">
        <f t="shared" ca="1" si="9"/>
        <v>0</v>
      </c>
      <c r="M45" s="196">
        <f ca="1">Royalty!AM47*Development!$BT$89*'Selected Economics'!$H46</f>
        <v>0</v>
      </c>
      <c r="N45" s="196">
        <f ca="1">'Provincial Tax'!X45*Development!$BT$89*'Selected Economics'!$H46</f>
        <v>0</v>
      </c>
      <c r="O45" s="196">
        <f ca="1">'Federal Tax'!X46*Development!$BT$89*'Selected Economics'!$H46</f>
        <v>0</v>
      </c>
      <c r="P45" s="196">
        <f t="shared" ca="1" si="10"/>
        <v>0</v>
      </c>
      <c r="Q45" s="196">
        <f t="shared" ca="1" si="11"/>
        <v>0</v>
      </c>
      <c r="R45" s="122"/>
      <c r="S45" s="122"/>
      <c r="T45" s="402"/>
      <c r="U45" s="402"/>
      <c r="V45" s="402"/>
      <c r="W45" s="402"/>
      <c r="X45" s="402"/>
      <c r="Y45" s="402"/>
      <c r="Z45" s="1"/>
      <c r="AA45" s="1"/>
      <c r="AB45" s="1"/>
      <c r="AC45" s="440"/>
      <c r="AD45" s="482">
        <f>IF(Thresholds!$E$1=Lists!$A$9,Exploration!U72-'Deposit Recovery'!V51,IF(Thresholds!$E$1=Lists!$A$10,Exploration!V72-'Deposit Recovery'!W51,IF(Thresholds!$E$1=Lists!$A$11,Exploration!W72-'Deposit Recovery'!X51,IF(Thresholds!$E$1=Lists!$A$12,Development!AY127,Development!BI127-Development!AY127))))</f>
        <v>0</v>
      </c>
      <c r="AE45" s="482">
        <f t="shared" ca="1" si="19"/>
        <v>0</v>
      </c>
      <c r="AF45" s="447">
        <f ca="1">AH45*IF(Input!$B$3="Real",'Selected Economics'!H46,1)</f>
        <v>0</v>
      </c>
      <c r="AG45" s="449"/>
      <c r="AH45" s="449">
        <f t="shared" ca="1" si="30"/>
        <v>0</v>
      </c>
      <c r="AI45" s="446">
        <f t="shared" ca="1" si="30"/>
        <v>0</v>
      </c>
      <c r="AJ45" s="446">
        <f t="shared" ca="1" si="30"/>
        <v>0</v>
      </c>
      <c r="AK45" s="446">
        <f t="shared" ca="1" si="30"/>
        <v>0</v>
      </c>
      <c r="AL45" s="446">
        <f t="shared" ca="1" si="30"/>
        <v>0</v>
      </c>
      <c r="AM45" s="446">
        <f t="shared" ca="1" si="30"/>
        <v>0</v>
      </c>
      <c r="AN45" s="446">
        <f t="shared" ca="1" si="30"/>
        <v>0</v>
      </c>
      <c r="AO45" s="446">
        <f t="shared" ca="1" si="30"/>
        <v>0</v>
      </c>
      <c r="AP45" s="446">
        <f t="shared" ca="1" si="30"/>
        <v>0</v>
      </c>
      <c r="AQ45" s="446">
        <f t="shared" ca="1" si="30"/>
        <v>0</v>
      </c>
      <c r="AR45" s="446">
        <f t="shared" ca="1" si="31"/>
        <v>0</v>
      </c>
      <c r="AS45" s="446">
        <f t="shared" ca="1" si="31"/>
        <v>0</v>
      </c>
      <c r="AT45" s="446">
        <f t="shared" ca="1" si="31"/>
        <v>0</v>
      </c>
      <c r="AU45" s="446">
        <f t="shared" ca="1" si="31"/>
        <v>0</v>
      </c>
      <c r="AV45" s="446">
        <f t="shared" ca="1" si="31"/>
        <v>0</v>
      </c>
      <c r="AW45" s="446">
        <f t="shared" ca="1" si="31"/>
        <v>0</v>
      </c>
      <c r="AX45" s="446">
        <f t="shared" ca="1" si="31"/>
        <v>0</v>
      </c>
      <c r="AY45" s="446">
        <f t="shared" ca="1" si="31"/>
        <v>0</v>
      </c>
      <c r="AZ45" s="446">
        <f t="shared" ca="1" si="31"/>
        <v>0</v>
      </c>
      <c r="BA45" s="446">
        <f t="shared" ca="1" si="31"/>
        <v>0</v>
      </c>
      <c r="BB45" s="446">
        <f t="shared" ca="1" si="32"/>
        <v>0</v>
      </c>
      <c r="BC45" s="446">
        <f t="shared" ca="1" si="32"/>
        <v>0</v>
      </c>
      <c r="BD45" s="446">
        <f t="shared" ca="1" si="32"/>
        <v>0</v>
      </c>
      <c r="BE45" s="446">
        <f t="shared" ca="1" si="32"/>
        <v>0</v>
      </c>
      <c r="BF45" s="446">
        <f t="shared" ca="1" si="32"/>
        <v>0</v>
      </c>
      <c r="BG45" s="446">
        <f t="shared" ca="1" si="32"/>
        <v>0</v>
      </c>
      <c r="BH45" s="446">
        <f t="shared" ca="1" si="32"/>
        <v>0</v>
      </c>
      <c r="BI45" s="446">
        <f t="shared" ca="1" si="32"/>
        <v>0</v>
      </c>
      <c r="BJ45" s="446">
        <f t="shared" ca="1" si="32"/>
        <v>0</v>
      </c>
      <c r="BK45" s="446">
        <f t="shared" ca="1" si="32"/>
        <v>0</v>
      </c>
      <c r="BL45" s="446">
        <f t="shared" ca="1" si="33"/>
        <v>0</v>
      </c>
      <c r="BM45" s="446">
        <f t="shared" ca="1" si="33"/>
        <v>0</v>
      </c>
      <c r="BN45" s="446">
        <f t="shared" ca="1" si="33"/>
        <v>0</v>
      </c>
      <c r="BO45" s="446">
        <f t="shared" ca="1" si="33"/>
        <v>0</v>
      </c>
      <c r="BP45" s="446">
        <f t="shared" ca="1" si="33"/>
        <v>0</v>
      </c>
      <c r="BQ45" s="446">
        <f t="shared" ca="1" si="33"/>
        <v>0</v>
      </c>
      <c r="BR45" s="446">
        <f t="shared" ca="1" si="33"/>
        <v>0</v>
      </c>
      <c r="BS45" s="446">
        <f t="shared" ca="1" si="33"/>
        <v>0</v>
      </c>
      <c r="BT45" s="446">
        <f t="shared" ca="1" si="33"/>
        <v>0</v>
      </c>
      <c r="BU45" s="446">
        <f t="shared" ca="1" si="33"/>
        <v>0</v>
      </c>
      <c r="BV45" s="446">
        <f t="shared" ca="1" si="34"/>
        <v>0</v>
      </c>
      <c r="BW45" s="446">
        <f t="shared" ca="1" si="34"/>
        <v>0</v>
      </c>
      <c r="BX45" s="446">
        <f t="shared" ca="1" si="34"/>
        <v>0</v>
      </c>
      <c r="BY45" s="446">
        <f t="shared" ca="1" si="34"/>
        <v>0</v>
      </c>
      <c r="BZ45" s="446">
        <f t="shared" ca="1" si="34"/>
        <v>0</v>
      </c>
      <c r="CA45" s="446">
        <f t="shared" ca="1" si="34"/>
        <v>0</v>
      </c>
      <c r="CB45" s="446">
        <f t="shared" ca="1" si="34"/>
        <v>0</v>
      </c>
      <c r="CC45" s="446">
        <f t="shared" ca="1" si="34"/>
        <v>0</v>
      </c>
      <c r="CD45" s="446">
        <f t="shared" ca="1" si="34"/>
        <v>0</v>
      </c>
      <c r="CE45" s="446">
        <f t="shared" ca="1" si="34"/>
        <v>0</v>
      </c>
      <c r="CF45" s="446">
        <f t="shared" ca="1" si="34"/>
        <v>0</v>
      </c>
      <c r="CG45" s="446">
        <f t="shared" ca="1" si="34"/>
        <v>0</v>
      </c>
      <c r="CH45" s="446"/>
      <c r="CI45" s="446"/>
    </row>
    <row r="46" spans="1:87">
      <c r="A46" s="108" t="str">
        <f>IF(OR(A45=Abandonment!$B$4,A45=""),"",'Success Cash Flow'!A45+1)</f>
        <v/>
      </c>
      <c r="B46" s="196">
        <f ca="1">Revenue!S47*'Selected Economics'!$H47</f>
        <v>0</v>
      </c>
      <c r="C46" s="196">
        <f ca="1">Revenue!T47*'Selected Economics'!$H47</f>
        <v>0</v>
      </c>
      <c r="D46" s="196">
        <f ca="1">Revenue!U47*'Selected Economics'!$H47</f>
        <v>0</v>
      </c>
      <c r="E46" s="196">
        <f t="shared" ca="1" si="18"/>
        <v>0</v>
      </c>
      <c r="F46" s="196">
        <f ca="1">Exploration!X73*'Selected Economics'!$H47</f>
        <v>0</v>
      </c>
      <c r="G46" s="196"/>
      <c r="H46" s="196">
        <f ca="1">Development!CC128*'Selected Economics'!$H47</f>
        <v>0</v>
      </c>
      <c r="I46" s="196">
        <f ca="1">Abandonment!K52*'Selected Economics'!$H47</f>
        <v>0</v>
      </c>
      <c r="J46" s="196">
        <f ca="1">Operations!P55</f>
        <v>0</v>
      </c>
      <c r="K46" s="196">
        <f t="shared" ca="1" si="8"/>
        <v>0</v>
      </c>
      <c r="L46" s="196">
        <f t="shared" ca="1" si="9"/>
        <v>0</v>
      </c>
      <c r="M46" s="196">
        <f ca="1">Royalty!AM48*Development!$BT$89*'Selected Economics'!$H47</f>
        <v>0</v>
      </c>
      <c r="N46" s="196">
        <f ca="1">'Provincial Tax'!X46*Development!$BT$89*'Selected Economics'!$H47</f>
        <v>0</v>
      </c>
      <c r="O46" s="196">
        <f ca="1">'Federal Tax'!X47*Development!$BT$89*'Selected Economics'!$H47</f>
        <v>0</v>
      </c>
      <c r="P46" s="196">
        <f t="shared" ca="1" si="10"/>
        <v>0</v>
      </c>
      <c r="Q46" s="196">
        <f t="shared" ca="1" si="11"/>
        <v>0</v>
      </c>
      <c r="R46" s="122"/>
      <c r="S46" s="122"/>
      <c r="T46" s="402"/>
      <c r="U46" s="402"/>
      <c r="V46" s="402"/>
      <c r="W46" s="402"/>
      <c r="X46" s="402"/>
      <c r="Y46" s="402"/>
      <c r="Z46" s="1"/>
      <c r="AA46" s="1"/>
      <c r="AB46" s="1"/>
      <c r="AC46" s="440"/>
      <c r="AD46" s="482">
        <f>IF(Thresholds!$E$1=Lists!$A$9,Exploration!U73-'Deposit Recovery'!V52,IF(Thresholds!$E$1=Lists!$A$10,Exploration!V73-'Deposit Recovery'!W52,IF(Thresholds!$E$1=Lists!$A$11,Exploration!W73-'Deposit Recovery'!X52,IF(Thresholds!$E$1=Lists!$A$12,Development!AY128,Development!BI128-Development!AY128))))</f>
        <v>0</v>
      </c>
      <c r="AE46" s="482">
        <f t="shared" ca="1" si="19"/>
        <v>0</v>
      </c>
      <c r="AF46" s="447">
        <f ca="1">AH46*IF(Input!$B$3="Real",'Selected Economics'!H47,1)</f>
        <v>0</v>
      </c>
      <c r="AG46" s="449"/>
      <c r="AH46" s="449">
        <f t="shared" ca="1" si="30"/>
        <v>0</v>
      </c>
      <c r="AI46" s="446">
        <f t="shared" ca="1" si="30"/>
        <v>0</v>
      </c>
      <c r="AJ46" s="446">
        <f t="shared" ca="1" si="30"/>
        <v>0</v>
      </c>
      <c r="AK46" s="446">
        <f t="shared" ca="1" si="30"/>
        <v>0</v>
      </c>
      <c r="AL46" s="446">
        <f t="shared" ca="1" si="30"/>
        <v>0</v>
      </c>
      <c r="AM46" s="446">
        <f t="shared" ca="1" si="30"/>
        <v>0</v>
      </c>
      <c r="AN46" s="446">
        <f t="shared" ca="1" si="30"/>
        <v>0</v>
      </c>
      <c r="AO46" s="446">
        <f t="shared" ca="1" si="30"/>
        <v>0</v>
      </c>
      <c r="AP46" s="446">
        <f t="shared" ca="1" si="30"/>
        <v>0</v>
      </c>
      <c r="AQ46" s="446">
        <f t="shared" ca="1" si="30"/>
        <v>0</v>
      </c>
      <c r="AR46" s="446">
        <f t="shared" ca="1" si="31"/>
        <v>0</v>
      </c>
      <c r="AS46" s="446">
        <f t="shared" ca="1" si="31"/>
        <v>0</v>
      </c>
      <c r="AT46" s="446">
        <f t="shared" ca="1" si="31"/>
        <v>0</v>
      </c>
      <c r="AU46" s="446">
        <f t="shared" ca="1" si="31"/>
        <v>0</v>
      </c>
      <c r="AV46" s="446">
        <f t="shared" ca="1" si="31"/>
        <v>0</v>
      </c>
      <c r="AW46" s="446">
        <f t="shared" ca="1" si="31"/>
        <v>0</v>
      </c>
      <c r="AX46" s="446">
        <f t="shared" ca="1" si="31"/>
        <v>0</v>
      </c>
      <c r="AY46" s="446">
        <f t="shared" ca="1" si="31"/>
        <v>0</v>
      </c>
      <c r="AZ46" s="446">
        <f t="shared" ca="1" si="31"/>
        <v>0</v>
      </c>
      <c r="BA46" s="446">
        <f t="shared" ca="1" si="31"/>
        <v>0</v>
      </c>
      <c r="BB46" s="446">
        <f t="shared" ca="1" si="32"/>
        <v>0</v>
      </c>
      <c r="BC46" s="446">
        <f t="shared" ca="1" si="32"/>
        <v>0</v>
      </c>
      <c r="BD46" s="446">
        <f t="shared" ca="1" si="32"/>
        <v>0</v>
      </c>
      <c r="BE46" s="446">
        <f t="shared" ca="1" si="32"/>
        <v>0</v>
      </c>
      <c r="BF46" s="446">
        <f t="shared" ca="1" si="32"/>
        <v>0</v>
      </c>
      <c r="BG46" s="446">
        <f t="shared" ca="1" si="32"/>
        <v>0</v>
      </c>
      <c r="BH46" s="446">
        <f t="shared" ca="1" si="32"/>
        <v>0</v>
      </c>
      <c r="BI46" s="446">
        <f t="shared" ca="1" si="32"/>
        <v>0</v>
      </c>
      <c r="BJ46" s="446">
        <f t="shared" ca="1" si="32"/>
        <v>0</v>
      </c>
      <c r="BK46" s="446">
        <f t="shared" ca="1" si="32"/>
        <v>0</v>
      </c>
      <c r="BL46" s="446">
        <f t="shared" ca="1" si="33"/>
        <v>0</v>
      </c>
      <c r="BM46" s="446">
        <f t="shared" ca="1" si="33"/>
        <v>0</v>
      </c>
      <c r="BN46" s="446">
        <f t="shared" ca="1" si="33"/>
        <v>0</v>
      </c>
      <c r="BO46" s="446">
        <f t="shared" ca="1" si="33"/>
        <v>0</v>
      </c>
      <c r="BP46" s="446">
        <f t="shared" ca="1" si="33"/>
        <v>0</v>
      </c>
      <c r="BQ46" s="446">
        <f t="shared" ca="1" si="33"/>
        <v>0</v>
      </c>
      <c r="BR46" s="446">
        <f t="shared" ca="1" si="33"/>
        <v>0</v>
      </c>
      <c r="BS46" s="446">
        <f t="shared" ca="1" si="33"/>
        <v>0</v>
      </c>
      <c r="BT46" s="446">
        <f t="shared" ca="1" si="33"/>
        <v>0</v>
      </c>
      <c r="BU46" s="446">
        <f t="shared" ca="1" si="33"/>
        <v>0</v>
      </c>
      <c r="BV46" s="446">
        <f t="shared" ca="1" si="34"/>
        <v>0</v>
      </c>
      <c r="BW46" s="446">
        <f t="shared" ca="1" si="34"/>
        <v>0</v>
      </c>
      <c r="BX46" s="446">
        <f t="shared" ca="1" si="34"/>
        <v>0</v>
      </c>
      <c r="BY46" s="446">
        <f t="shared" ca="1" si="34"/>
        <v>0</v>
      </c>
      <c r="BZ46" s="446">
        <f t="shared" ca="1" si="34"/>
        <v>0</v>
      </c>
      <c r="CA46" s="446">
        <f t="shared" ca="1" si="34"/>
        <v>0</v>
      </c>
      <c r="CB46" s="446">
        <f t="shared" ca="1" si="34"/>
        <v>0</v>
      </c>
      <c r="CC46" s="446">
        <f t="shared" ca="1" si="34"/>
        <v>0</v>
      </c>
      <c r="CD46" s="446">
        <f t="shared" ca="1" si="34"/>
        <v>0</v>
      </c>
      <c r="CE46" s="446">
        <f t="shared" ca="1" si="34"/>
        <v>0</v>
      </c>
      <c r="CF46" s="446">
        <f t="shared" ca="1" si="34"/>
        <v>0</v>
      </c>
      <c r="CG46" s="446">
        <f t="shared" ca="1" si="34"/>
        <v>0</v>
      </c>
      <c r="CH46" s="446"/>
      <c r="CI46" s="446"/>
    </row>
    <row r="47" spans="1:87">
      <c r="A47" s="108" t="str">
        <f>IF(OR(A46=Abandonment!$B$4,A46=""),"",'Success Cash Flow'!A46+1)</f>
        <v/>
      </c>
      <c r="B47" s="196">
        <f ca="1">Revenue!S48*'Selected Economics'!$H48</f>
        <v>0</v>
      </c>
      <c r="C47" s="196">
        <f ca="1">Revenue!T48*'Selected Economics'!$H48</f>
        <v>0</v>
      </c>
      <c r="D47" s="196">
        <f ca="1">Revenue!U48*'Selected Economics'!$H48</f>
        <v>0</v>
      </c>
      <c r="E47" s="196">
        <f t="shared" ca="1" si="18"/>
        <v>0</v>
      </c>
      <c r="F47" s="196">
        <f ca="1">Exploration!X74*'Selected Economics'!$H48</f>
        <v>0</v>
      </c>
      <c r="G47" s="196"/>
      <c r="H47" s="196">
        <f ca="1">Development!CC129*'Selected Economics'!$H48</f>
        <v>0</v>
      </c>
      <c r="I47" s="196">
        <f ca="1">Abandonment!K53*'Selected Economics'!$H48</f>
        <v>0</v>
      </c>
      <c r="J47" s="196">
        <f ca="1">Operations!P56</f>
        <v>0</v>
      </c>
      <c r="K47" s="196">
        <f t="shared" ca="1" si="8"/>
        <v>0</v>
      </c>
      <c r="L47" s="196">
        <f t="shared" ca="1" si="9"/>
        <v>0</v>
      </c>
      <c r="M47" s="196">
        <f ca="1">Royalty!AM49*Development!$BT$89*'Selected Economics'!$H48</f>
        <v>0</v>
      </c>
      <c r="N47" s="196">
        <f ca="1">'Provincial Tax'!X47*Development!$BT$89*'Selected Economics'!$H48</f>
        <v>0</v>
      </c>
      <c r="O47" s="196">
        <f ca="1">'Federal Tax'!X48*Development!$BT$89*'Selected Economics'!$H48</f>
        <v>0</v>
      </c>
      <c r="P47" s="196">
        <f t="shared" ca="1" si="10"/>
        <v>0</v>
      </c>
      <c r="Q47" s="196">
        <f t="shared" ca="1" si="11"/>
        <v>0</v>
      </c>
      <c r="R47" s="122"/>
      <c r="S47" s="122"/>
      <c r="T47" s="402"/>
      <c r="U47" s="402"/>
      <c r="V47" s="402"/>
      <c r="W47" s="402"/>
      <c r="X47" s="402"/>
      <c r="Y47" s="402"/>
      <c r="Z47" s="1"/>
      <c r="AA47" s="1"/>
      <c r="AB47" s="1"/>
      <c r="AC47" s="440"/>
      <c r="AD47" s="482">
        <f>IF(Thresholds!$E$1=Lists!$A$9,Exploration!U74-'Deposit Recovery'!V53,IF(Thresholds!$E$1=Lists!$A$10,Exploration!V74-'Deposit Recovery'!W53,IF(Thresholds!$E$1=Lists!$A$11,Exploration!W74-'Deposit Recovery'!X53,IF(Thresholds!$E$1=Lists!$A$12,Development!AY129,Development!BI129-Development!AY129))))</f>
        <v>0</v>
      </c>
      <c r="AE47" s="482">
        <f t="shared" ca="1" si="19"/>
        <v>0</v>
      </c>
      <c r="AF47" s="447">
        <f ca="1">AH47*IF(Input!$B$3="Real",'Selected Economics'!H48,1)</f>
        <v>0</v>
      </c>
      <c r="AG47" s="446"/>
      <c r="AH47" s="446">
        <f t="shared" ca="1" si="30"/>
        <v>0</v>
      </c>
      <c r="AI47" s="446">
        <f t="shared" ca="1" si="30"/>
        <v>0</v>
      </c>
      <c r="AJ47" s="446">
        <f t="shared" ca="1" si="30"/>
        <v>0</v>
      </c>
      <c r="AK47" s="446">
        <f t="shared" ca="1" si="30"/>
        <v>0</v>
      </c>
      <c r="AL47" s="446">
        <f t="shared" ca="1" si="30"/>
        <v>0</v>
      </c>
      <c r="AM47" s="446">
        <f t="shared" ca="1" si="30"/>
        <v>0</v>
      </c>
      <c r="AN47" s="446">
        <f t="shared" ca="1" si="30"/>
        <v>0</v>
      </c>
      <c r="AO47" s="446">
        <f t="shared" ca="1" si="30"/>
        <v>0</v>
      </c>
      <c r="AP47" s="446">
        <f t="shared" ca="1" si="30"/>
        <v>0</v>
      </c>
      <c r="AQ47" s="446">
        <f t="shared" ca="1" si="30"/>
        <v>0</v>
      </c>
      <c r="AR47" s="446">
        <f t="shared" ca="1" si="31"/>
        <v>0</v>
      </c>
      <c r="AS47" s="446">
        <f t="shared" ca="1" si="31"/>
        <v>0</v>
      </c>
      <c r="AT47" s="446">
        <f t="shared" ca="1" si="31"/>
        <v>0</v>
      </c>
      <c r="AU47" s="446">
        <f t="shared" ca="1" si="31"/>
        <v>0</v>
      </c>
      <c r="AV47" s="446">
        <f t="shared" ca="1" si="31"/>
        <v>0</v>
      </c>
      <c r="AW47" s="446">
        <f t="shared" ca="1" si="31"/>
        <v>0</v>
      </c>
      <c r="AX47" s="446">
        <f t="shared" ca="1" si="31"/>
        <v>0</v>
      </c>
      <c r="AY47" s="446">
        <f t="shared" ca="1" si="31"/>
        <v>0</v>
      </c>
      <c r="AZ47" s="446">
        <f t="shared" ca="1" si="31"/>
        <v>0</v>
      </c>
      <c r="BA47" s="446">
        <f t="shared" ca="1" si="31"/>
        <v>0</v>
      </c>
      <c r="BB47" s="446">
        <f t="shared" ca="1" si="32"/>
        <v>0</v>
      </c>
      <c r="BC47" s="446">
        <f t="shared" ca="1" si="32"/>
        <v>0</v>
      </c>
      <c r="BD47" s="446">
        <f t="shared" ca="1" si="32"/>
        <v>0</v>
      </c>
      <c r="BE47" s="446">
        <f t="shared" ca="1" si="32"/>
        <v>0</v>
      </c>
      <c r="BF47" s="446">
        <f t="shared" ca="1" si="32"/>
        <v>0</v>
      </c>
      <c r="BG47" s="446">
        <f t="shared" ca="1" si="32"/>
        <v>0</v>
      </c>
      <c r="BH47" s="446">
        <f t="shared" ca="1" si="32"/>
        <v>0</v>
      </c>
      <c r="BI47" s="446">
        <f t="shared" ca="1" si="32"/>
        <v>0</v>
      </c>
      <c r="BJ47" s="446">
        <f t="shared" ca="1" si="32"/>
        <v>0</v>
      </c>
      <c r="BK47" s="446">
        <f t="shared" ca="1" si="32"/>
        <v>0</v>
      </c>
      <c r="BL47" s="446">
        <f t="shared" ca="1" si="33"/>
        <v>0</v>
      </c>
      <c r="BM47" s="446">
        <f t="shared" ca="1" si="33"/>
        <v>0</v>
      </c>
      <c r="BN47" s="446">
        <f t="shared" ca="1" si="33"/>
        <v>0</v>
      </c>
      <c r="BO47" s="446">
        <f t="shared" ca="1" si="33"/>
        <v>0</v>
      </c>
      <c r="BP47" s="446">
        <f t="shared" ca="1" si="33"/>
        <v>0</v>
      </c>
      <c r="BQ47" s="446">
        <f t="shared" ca="1" si="33"/>
        <v>0</v>
      </c>
      <c r="BR47" s="446">
        <f t="shared" ca="1" si="33"/>
        <v>0</v>
      </c>
      <c r="BS47" s="446">
        <f t="shared" ca="1" si="33"/>
        <v>0</v>
      </c>
      <c r="BT47" s="446">
        <f t="shared" ca="1" si="33"/>
        <v>0</v>
      </c>
      <c r="BU47" s="446">
        <f t="shared" ca="1" si="33"/>
        <v>0</v>
      </c>
      <c r="BV47" s="446">
        <f t="shared" ca="1" si="34"/>
        <v>0</v>
      </c>
      <c r="BW47" s="446">
        <f t="shared" ca="1" si="34"/>
        <v>0</v>
      </c>
      <c r="BX47" s="446">
        <f t="shared" ca="1" si="34"/>
        <v>0</v>
      </c>
      <c r="BY47" s="446">
        <f t="shared" ca="1" si="34"/>
        <v>0</v>
      </c>
      <c r="BZ47" s="446">
        <f t="shared" ca="1" si="34"/>
        <v>0</v>
      </c>
      <c r="CA47" s="446">
        <f t="shared" ca="1" si="34"/>
        <v>0</v>
      </c>
      <c r="CB47" s="446">
        <f t="shared" ca="1" si="34"/>
        <v>0</v>
      </c>
      <c r="CC47" s="446">
        <f t="shared" ca="1" si="34"/>
        <v>0</v>
      </c>
      <c r="CD47" s="446">
        <f t="shared" ca="1" si="34"/>
        <v>0</v>
      </c>
      <c r="CE47" s="446">
        <f t="shared" ca="1" si="34"/>
        <v>0</v>
      </c>
      <c r="CF47" s="446">
        <f t="shared" ca="1" si="34"/>
        <v>0</v>
      </c>
      <c r="CG47" s="446">
        <f t="shared" ca="1" si="34"/>
        <v>0</v>
      </c>
      <c r="CH47" s="446"/>
      <c r="CI47" s="446"/>
    </row>
    <row r="48" spans="1:87">
      <c r="A48" s="108" t="str">
        <f>IF(OR(A47=Abandonment!$B$4,A47=""),"",'Success Cash Flow'!A47+1)</f>
        <v/>
      </c>
      <c r="B48" s="196">
        <f ca="1">Revenue!S49*'Selected Economics'!$H49</f>
        <v>0</v>
      </c>
      <c r="C48" s="196">
        <f ca="1">Revenue!T49*'Selected Economics'!$H49</f>
        <v>0</v>
      </c>
      <c r="D48" s="196">
        <f ca="1">Revenue!U49*'Selected Economics'!$H49</f>
        <v>0</v>
      </c>
      <c r="E48" s="196">
        <f t="shared" ca="1" si="18"/>
        <v>0</v>
      </c>
      <c r="F48" s="196">
        <f ca="1">Exploration!X75*'Selected Economics'!$H49</f>
        <v>0</v>
      </c>
      <c r="G48" s="196"/>
      <c r="H48" s="196">
        <f ca="1">Development!CC130*'Selected Economics'!$H49</f>
        <v>0</v>
      </c>
      <c r="I48" s="196">
        <f ca="1">Abandonment!K54*'Selected Economics'!$H49</f>
        <v>0</v>
      </c>
      <c r="J48" s="196">
        <f ca="1">Operations!P57</f>
        <v>0</v>
      </c>
      <c r="K48" s="196">
        <f t="shared" ca="1" si="8"/>
        <v>0</v>
      </c>
      <c r="L48" s="196">
        <f t="shared" ca="1" si="9"/>
        <v>0</v>
      </c>
      <c r="M48" s="196">
        <f ca="1">Royalty!AM50*Development!$BT$89*'Selected Economics'!$H49</f>
        <v>0</v>
      </c>
      <c r="N48" s="196">
        <f ca="1">'Provincial Tax'!X48*Development!$BT$89*'Selected Economics'!$H49</f>
        <v>0</v>
      </c>
      <c r="O48" s="196">
        <f ca="1">'Federal Tax'!X49*Development!$BT$89*'Selected Economics'!$H49</f>
        <v>0</v>
      </c>
      <c r="P48" s="196">
        <f t="shared" ca="1" si="10"/>
        <v>0</v>
      </c>
      <c r="Q48" s="196">
        <f t="shared" ca="1" si="11"/>
        <v>0</v>
      </c>
      <c r="R48" s="122"/>
      <c r="S48" s="122"/>
      <c r="T48" s="402"/>
      <c r="U48" s="402"/>
      <c r="V48" s="402"/>
      <c r="W48" s="402"/>
      <c r="X48" s="402"/>
      <c r="Y48" s="402"/>
      <c r="Z48" s="1"/>
      <c r="AA48" s="1"/>
      <c r="AB48" s="1"/>
      <c r="AC48" s="440"/>
      <c r="AD48" s="482">
        <f>IF(Thresholds!$E$1=Lists!$A$9,Exploration!U75-'Deposit Recovery'!V54,IF(Thresholds!$E$1=Lists!$A$10,Exploration!V75-'Deposit Recovery'!W54,IF(Thresholds!$E$1=Lists!$A$11,Exploration!W75-'Deposit Recovery'!X54,IF(Thresholds!$E$1=Lists!$A$12,Development!AY130,Development!BI130-Development!AY130))))</f>
        <v>0</v>
      </c>
      <c r="AE48" s="482">
        <f t="shared" ca="1" si="19"/>
        <v>0</v>
      </c>
      <c r="AF48" s="447">
        <f ca="1">AH48*IF(Input!$B$3="Real",'Selected Economics'!H49,1)</f>
        <v>0</v>
      </c>
      <c r="AG48" s="446"/>
      <c r="AH48" s="446">
        <f t="shared" ca="1" si="30"/>
        <v>0</v>
      </c>
      <c r="AI48" s="446">
        <f t="shared" ca="1" si="30"/>
        <v>0</v>
      </c>
      <c r="AJ48" s="446">
        <f t="shared" ca="1" si="30"/>
        <v>0</v>
      </c>
      <c r="AK48" s="446">
        <f t="shared" ca="1" si="30"/>
        <v>0</v>
      </c>
      <c r="AL48" s="446">
        <f t="shared" ca="1" si="30"/>
        <v>0</v>
      </c>
      <c r="AM48" s="446">
        <f t="shared" ca="1" si="30"/>
        <v>0</v>
      </c>
      <c r="AN48" s="446">
        <f t="shared" ca="1" si="30"/>
        <v>0</v>
      </c>
      <c r="AO48" s="446">
        <f t="shared" ca="1" si="30"/>
        <v>0</v>
      </c>
      <c r="AP48" s="446">
        <f t="shared" ca="1" si="30"/>
        <v>0</v>
      </c>
      <c r="AQ48" s="446">
        <f t="shared" ca="1" si="30"/>
        <v>0</v>
      </c>
      <c r="AR48" s="446">
        <f t="shared" ca="1" si="31"/>
        <v>0</v>
      </c>
      <c r="AS48" s="446">
        <f t="shared" ca="1" si="31"/>
        <v>0</v>
      </c>
      <c r="AT48" s="446">
        <f t="shared" ca="1" si="31"/>
        <v>0</v>
      </c>
      <c r="AU48" s="446">
        <f t="shared" ca="1" si="31"/>
        <v>0</v>
      </c>
      <c r="AV48" s="446">
        <f t="shared" ca="1" si="31"/>
        <v>0</v>
      </c>
      <c r="AW48" s="446">
        <f t="shared" ca="1" si="31"/>
        <v>0</v>
      </c>
      <c r="AX48" s="446">
        <f t="shared" ca="1" si="31"/>
        <v>0</v>
      </c>
      <c r="AY48" s="446">
        <f t="shared" ca="1" si="31"/>
        <v>0</v>
      </c>
      <c r="AZ48" s="446">
        <f t="shared" ca="1" si="31"/>
        <v>0</v>
      </c>
      <c r="BA48" s="446">
        <f t="shared" ca="1" si="31"/>
        <v>0</v>
      </c>
      <c r="BB48" s="446">
        <f t="shared" ca="1" si="32"/>
        <v>0</v>
      </c>
      <c r="BC48" s="446">
        <f t="shared" ca="1" si="32"/>
        <v>0</v>
      </c>
      <c r="BD48" s="446">
        <f t="shared" ca="1" si="32"/>
        <v>0</v>
      </c>
      <c r="BE48" s="446">
        <f t="shared" ca="1" si="32"/>
        <v>0</v>
      </c>
      <c r="BF48" s="446">
        <f t="shared" ca="1" si="32"/>
        <v>0</v>
      </c>
      <c r="BG48" s="446">
        <f t="shared" ca="1" si="32"/>
        <v>0</v>
      </c>
      <c r="BH48" s="446">
        <f t="shared" ca="1" si="32"/>
        <v>0</v>
      </c>
      <c r="BI48" s="446">
        <f t="shared" ca="1" si="32"/>
        <v>0</v>
      </c>
      <c r="BJ48" s="446">
        <f t="shared" ca="1" si="32"/>
        <v>0</v>
      </c>
      <c r="BK48" s="446">
        <f t="shared" ca="1" si="32"/>
        <v>0</v>
      </c>
      <c r="BL48" s="446">
        <f t="shared" ca="1" si="33"/>
        <v>0</v>
      </c>
      <c r="BM48" s="446">
        <f t="shared" ca="1" si="33"/>
        <v>0</v>
      </c>
      <c r="BN48" s="446">
        <f t="shared" ca="1" si="33"/>
        <v>0</v>
      </c>
      <c r="BO48" s="446">
        <f t="shared" ca="1" si="33"/>
        <v>0</v>
      </c>
      <c r="BP48" s="446">
        <f t="shared" ca="1" si="33"/>
        <v>0</v>
      </c>
      <c r="BQ48" s="446">
        <f t="shared" ca="1" si="33"/>
        <v>0</v>
      </c>
      <c r="BR48" s="446">
        <f t="shared" ca="1" si="33"/>
        <v>0</v>
      </c>
      <c r="BS48" s="446">
        <f t="shared" ca="1" si="33"/>
        <v>0</v>
      </c>
      <c r="BT48" s="446">
        <f t="shared" ca="1" si="33"/>
        <v>0</v>
      </c>
      <c r="BU48" s="446">
        <f t="shared" ca="1" si="33"/>
        <v>0</v>
      </c>
      <c r="BV48" s="446">
        <f t="shared" ca="1" si="34"/>
        <v>0</v>
      </c>
      <c r="BW48" s="446">
        <f t="shared" ca="1" si="34"/>
        <v>0</v>
      </c>
      <c r="BX48" s="446">
        <f t="shared" ca="1" si="34"/>
        <v>0</v>
      </c>
      <c r="BY48" s="446">
        <f t="shared" ca="1" si="34"/>
        <v>0</v>
      </c>
      <c r="BZ48" s="446">
        <f t="shared" ca="1" si="34"/>
        <v>0</v>
      </c>
      <c r="CA48" s="446">
        <f t="shared" ca="1" si="34"/>
        <v>0</v>
      </c>
      <c r="CB48" s="446">
        <f t="shared" ca="1" si="34"/>
        <v>0</v>
      </c>
      <c r="CC48" s="446">
        <f t="shared" ca="1" si="34"/>
        <v>0</v>
      </c>
      <c r="CD48" s="446">
        <f t="shared" ca="1" si="34"/>
        <v>0</v>
      </c>
      <c r="CE48" s="446">
        <f t="shared" ca="1" si="34"/>
        <v>0</v>
      </c>
      <c r="CF48" s="446">
        <f t="shared" ca="1" si="34"/>
        <v>0</v>
      </c>
      <c r="CG48" s="446">
        <f t="shared" ca="1" si="34"/>
        <v>0</v>
      </c>
      <c r="CH48" s="446"/>
      <c r="CI48" s="446"/>
    </row>
    <row r="49" spans="1:87">
      <c r="A49" s="108" t="str">
        <f>IF(OR(A48=Abandonment!$B$4,A48=""),"",'Success Cash Flow'!A48+1)</f>
        <v/>
      </c>
      <c r="B49" s="196">
        <f ca="1">Revenue!S50*'Selected Economics'!$H50</f>
        <v>0</v>
      </c>
      <c r="C49" s="196">
        <f ca="1">Revenue!T50*'Selected Economics'!$H50</f>
        <v>0</v>
      </c>
      <c r="D49" s="196">
        <f ca="1">Revenue!U50*'Selected Economics'!$H50</f>
        <v>0</v>
      </c>
      <c r="E49" s="196">
        <f t="shared" ca="1" si="18"/>
        <v>0</v>
      </c>
      <c r="F49" s="196">
        <f ca="1">Exploration!X76*'Selected Economics'!$H50</f>
        <v>0</v>
      </c>
      <c r="G49" s="196"/>
      <c r="H49" s="196">
        <f ca="1">Development!CC131*'Selected Economics'!$H50</f>
        <v>0</v>
      </c>
      <c r="I49" s="196">
        <f ca="1">Abandonment!K55*'Selected Economics'!$H50</f>
        <v>0</v>
      </c>
      <c r="J49" s="196">
        <f ca="1">Operations!P58</f>
        <v>0</v>
      </c>
      <c r="K49" s="196">
        <f t="shared" ca="1" si="8"/>
        <v>0</v>
      </c>
      <c r="L49" s="196">
        <f t="shared" ca="1" si="9"/>
        <v>0</v>
      </c>
      <c r="M49" s="196">
        <f ca="1">Royalty!AM51*Development!$BT$89*'Selected Economics'!$H50</f>
        <v>0</v>
      </c>
      <c r="N49" s="196">
        <f ca="1">'Provincial Tax'!X49*Development!$BT$89*'Selected Economics'!$H50</f>
        <v>0</v>
      </c>
      <c r="O49" s="196">
        <f ca="1">'Federal Tax'!X50*Development!$BT$89*'Selected Economics'!$H50</f>
        <v>0</v>
      </c>
      <c r="P49" s="196">
        <f t="shared" ca="1" si="10"/>
        <v>0</v>
      </c>
      <c r="Q49" s="196">
        <f t="shared" ca="1" si="11"/>
        <v>0</v>
      </c>
      <c r="R49" s="122"/>
      <c r="S49" s="122"/>
      <c r="T49" s="402"/>
      <c r="U49" s="402"/>
      <c r="V49" s="402"/>
      <c r="W49" s="402"/>
      <c r="X49" s="402"/>
      <c r="Y49" s="402"/>
      <c r="Z49" s="1"/>
      <c r="AA49" s="1"/>
      <c r="AB49" s="1"/>
      <c r="AC49" s="440"/>
      <c r="AD49" s="482">
        <f>IF(Thresholds!$E$1=Lists!$A$9,Exploration!U76-'Deposit Recovery'!V55,IF(Thresholds!$E$1=Lists!$A$10,Exploration!V76-'Deposit Recovery'!W55,IF(Thresholds!$E$1=Lists!$A$11,Exploration!W76-'Deposit Recovery'!X55,IF(Thresholds!$E$1=Lists!$A$12,Development!AY131,Development!BI131-Development!AY131))))</f>
        <v>0</v>
      </c>
      <c r="AE49" s="482">
        <f t="shared" ca="1" si="19"/>
        <v>0</v>
      </c>
      <c r="AF49" s="447">
        <f ca="1">AH49*IF(Input!$B$3="Real",'Selected Economics'!H50,1)</f>
        <v>0</v>
      </c>
      <c r="AG49" s="446"/>
      <c r="AH49" s="446">
        <f t="shared" ca="1" si="30"/>
        <v>0</v>
      </c>
      <c r="AI49" s="446">
        <f t="shared" ca="1" si="30"/>
        <v>0</v>
      </c>
      <c r="AJ49" s="446">
        <f t="shared" ca="1" si="30"/>
        <v>0</v>
      </c>
      <c r="AK49" s="446">
        <f t="shared" ca="1" si="30"/>
        <v>0</v>
      </c>
      <c r="AL49" s="446">
        <f t="shared" ca="1" si="30"/>
        <v>0</v>
      </c>
      <c r="AM49" s="446">
        <f t="shared" ca="1" si="30"/>
        <v>0</v>
      </c>
      <c r="AN49" s="446">
        <f t="shared" ca="1" si="30"/>
        <v>0</v>
      </c>
      <c r="AO49" s="446">
        <f t="shared" ca="1" si="30"/>
        <v>0</v>
      </c>
      <c r="AP49" s="446">
        <f t="shared" ca="1" si="30"/>
        <v>0</v>
      </c>
      <c r="AQ49" s="446">
        <f t="shared" ca="1" si="30"/>
        <v>0</v>
      </c>
      <c r="AR49" s="446">
        <f t="shared" ca="1" si="31"/>
        <v>0</v>
      </c>
      <c r="AS49" s="446">
        <f t="shared" ca="1" si="31"/>
        <v>0</v>
      </c>
      <c r="AT49" s="446">
        <f t="shared" ca="1" si="31"/>
        <v>0</v>
      </c>
      <c r="AU49" s="446">
        <f t="shared" ca="1" si="31"/>
        <v>0</v>
      </c>
      <c r="AV49" s="446">
        <f t="shared" ca="1" si="31"/>
        <v>0</v>
      </c>
      <c r="AW49" s="446">
        <f t="shared" ca="1" si="31"/>
        <v>0</v>
      </c>
      <c r="AX49" s="446">
        <f t="shared" ca="1" si="31"/>
        <v>0</v>
      </c>
      <c r="AY49" s="446">
        <f t="shared" ca="1" si="31"/>
        <v>0</v>
      </c>
      <c r="AZ49" s="446">
        <f t="shared" ca="1" si="31"/>
        <v>0</v>
      </c>
      <c r="BA49" s="446">
        <f t="shared" ca="1" si="31"/>
        <v>0</v>
      </c>
      <c r="BB49" s="446">
        <f t="shared" ca="1" si="32"/>
        <v>0</v>
      </c>
      <c r="BC49" s="446">
        <f t="shared" ca="1" si="32"/>
        <v>0</v>
      </c>
      <c r="BD49" s="446">
        <f t="shared" ca="1" si="32"/>
        <v>0</v>
      </c>
      <c r="BE49" s="446">
        <f t="shared" ca="1" si="32"/>
        <v>0</v>
      </c>
      <c r="BF49" s="446">
        <f t="shared" ca="1" si="32"/>
        <v>0</v>
      </c>
      <c r="BG49" s="446">
        <f t="shared" ca="1" si="32"/>
        <v>0</v>
      </c>
      <c r="BH49" s="446">
        <f t="shared" ca="1" si="32"/>
        <v>0</v>
      </c>
      <c r="BI49" s="446">
        <f t="shared" ca="1" si="32"/>
        <v>0</v>
      </c>
      <c r="BJ49" s="446">
        <f t="shared" ca="1" si="32"/>
        <v>0</v>
      </c>
      <c r="BK49" s="446">
        <f t="shared" ca="1" si="32"/>
        <v>0</v>
      </c>
      <c r="BL49" s="446">
        <f t="shared" ca="1" si="33"/>
        <v>0</v>
      </c>
      <c r="BM49" s="446">
        <f t="shared" ca="1" si="33"/>
        <v>0</v>
      </c>
      <c r="BN49" s="446">
        <f t="shared" ca="1" si="33"/>
        <v>0</v>
      </c>
      <c r="BO49" s="446">
        <f t="shared" ca="1" si="33"/>
        <v>0</v>
      </c>
      <c r="BP49" s="446">
        <f t="shared" ca="1" si="33"/>
        <v>0</v>
      </c>
      <c r="BQ49" s="446">
        <f t="shared" ca="1" si="33"/>
        <v>0</v>
      </c>
      <c r="BR49" s="446">
        <f t="shared" ca="1" si="33"/>
        <v>0</v>
      </c>
      <c r="BS49" s="446">
        <f t="shared" ca="1" si="33"/>
        <v>0</v>
      </c>
      <c r="BT49" s="446">
        <f t="shared" ca="1" si="33"/>
        <v>0</v>
      </c>
      <c r="BU49" s="446">
        <f t="shared" ca="1" si="33"/>
        <v>0</v>
      </c>
      <c r="BV49" s="446">
        <f t="shared" ca="1" si="34"/>
        <v>0</v>
      </c>
      <c r="BW49" s="446">
        <f t="shared" ca="1" si="34"/>
        <v>0</v>
      </c>
      <c r="BX49" s="446">
        <f t="shared" ca="1" si="34"/>
        <v>0</v>
      </c>
      <c r="BY49" s="446">
        <f t="shared" ca="1" si="34"/>
        <v>0</v>
      </c>
      <c r="BZ49" s="446">
        <f t="shared" ca="1" si="34"/>
        <v>0</v>
      </c>
      <c r="CA49" s="446">
        <f t="shared" ca="1" si="34"/>
        <v>0</v>
      </c>
      <c r="CB49" s="446">
        <f t="shared" ca="1" si="34"/>
        <v>0</v>
      </c>
      <c r="CC49" s="446">
        <f t="shared" ca="1" si="34"/>
        <v>0</v>
      </c>
      <c r="CD49" s="446">
        <f t="shared" ca="1" si="34"/>
        <v>0</v>
      </c>
      <c r="CE49" s="446">
        <f t="shared" ca="1" si="34"/>
        <v>0</v>
      </c>
      <c r="CF49" s="446">
        <f t="shared" ca="1" si="34"/>
        <v>0</v>
      </c>
      <c r="CG49" s="446">
        <f t="shared" ca="1" si="34"/>
        <v>0</v>
      </c>
      <c r="CH49" s="446"/>
      <c r="CI49" s="446"/>
    </row>
    <row r="50" spans="1:87">
      <c r="A50" s="110"/>
      <c r="B50" s="198">
        <f>Revenue!S51*'Selected Economics'!$H51</f>
        <v>0</v>
      </c>
      <c r="C50" s="198">
        <f>Revenue!T51*'Selected Economics'!$H51</f>
        <v>0</v>
      </c>
      <c r="D50" s="198">
        <f>Revenue!U51*'Selected Economics'!$H51</f>
        <v>0</v>
      </c>
      <c r="E50" s="110"/>
      <c r="F50" s="198">
        <f>Exploration!X77*'Selected Economics'!$H51</f>
        <v>0</v>
      </c>
      <c r="G50" s="198"/>
      <c r="H50" s="198">
        <f>Development!CC132*'Selected Economics'!$H51</f>
        <v>0</v>
      </c>
      <c r="I50" s="198">
        <f>Abandonment!K56*'Selected Economics'!$H51</f>
        <v>0</v>
      </c>
      <c r="J50" s="198">
        <f>Operations!P59</f>
        <v>0</v>
      </c>
      <c r="K50" s="110"/>
      <c r="L50" s="110"/>
      <c r="M50" s="198">
        <f ca="1">Royalty!AM52*Development!$BT$89*'Selected Economics'!$H51</f>
        <v>0</v>
      </c>
      <c r="N50" s="198">
        <f ca="1">'Provincial Tax'!X50*Development!$BT$89*'Selected Economics'!$H51</f>
        <v>0</v>
      </c>
      <c r="O50" s="198">
        <f ca="1">'Federal Tax'!X51*Development!$BT$89*'Selected Economics'!$H51</f>
        <v>0</v>
      </c>
      <c r="P50" s="110"/>
      <c r="Q50" s="110"/>
      <c r="R50" s="64"/>
      <c r="S50" s="64"/>
      <c r="T50" s="1"/>
      <c r="U50" s="1"/>
      <c r="V50" s="1"/>
      <c r="W50" s="1"/>
      <c r="X50" s="1"/>
      <c r="Y50" s="1"/>
      <c r="Z50" s="1"/>
      <c r="AA50" s="1"/>
      <c r="AB50" s="1"/>
      <c r="AC50" s="440"/>
      <c r="AD50" s="482">
        <f>IF(Thresholds!$E$1=Lists!$A$9,Exploration!U77-'Deposit Recovery'!V56,IF(Thresholds!$E$1=Lists!$A$10,Exploration!V77-'Deposit Recovery'!W56,IF(Thresholds!$E$1=Lists!$A$11,Exploration!W77-'Deposit Recovery'!X56,IF(Thresholds!$E$1=Lists!$A$12,Development!AY132,Development!BI132-Development!AY132))))</f>
        <v>0</v>
      </c>
      <c r="AE50" s="482">
        <f t="shared" si="19"/>
        <v>0</v>
      </c>
      <c r="AF50" s="447">
        <f>AH50*IF(Input!$B$3="Real",'Selected Economics'!H51,1)</f>
        <v>0</v>
      </c>
      <c r="AG50" s="450"/>
      <c r="AH50" s="450"/>
      <c r="AI50" s="450"/>
      <c r="AJ50" s="450"/>
      <c r="AK50" s="450"/>
      <c r="AL50" s="450"/>
      <c r="AM50" s="450"/>
      <c r="AN50" s="450"/>
      <c r="AO50" s="450"/>
      <c r="AP50" s="450"/>
      <c r="AQ50" s="450"/>
      <c r="AR50" s="450"/>
      <c r="AS50" s="450"/>
      <c r="AT50" s="450"/>
      <c r="AU50" s="450"/>
      <c r="AV50" s="450"/>
      <c r="AW50" s="450"/>
      <c r="AX50" s="450"/>
      <c r="AY50" s="450"/>
      <c r="AZ50" s="450"/>
      <c r="BA50" s="450"/>
      <c r="BB50" s="450"/>
      <c r="BC50" s="450"/>
      <c r="BD50" s="450"/>
      <c r="BE50" s="450"/>
      <c r="BF50" s="450"/>
      <c r="BG50" s="450"/>
      <c r="BH50" s="450"/>
      <c r="BI50" s="450"/>
      <c r="BJ50" s="450"/>
      <c r="BK50" s="450"/>
      <c r="BL50" s="450"/>
      <c r="BM50" s="450"/>
      <c r="BN50" s="450"/>
      <c r="BO50" s="450"/>
      <c r="BP50" s="450"/>
      <c r="BQ50" s="450"/>
      <c r="BR50" s="450"/>
      <c r="BS50" s="450"/>
      <c r="BT50" s="450"/>
      <c r="BU50" s="450"/>
      <c r="BV50" s="450"/>
      <c r="BW50" s="450"/>
      <c r="BX50" s="450"/>
      <c r="BY50" s="450"/>
      <c r="BZ50" s="450"/>
      <c r="CA50" s="450"/>
      <c r="CB50" s="450"/>
      <c r="CC50" s="450"/>
      <c r="CD50" s="450"/>
      <c r="CE50" s="450"/>
      <c r="CF50" s="450"/>
      <c r="CG50" s="450"/>
      <c r="CH50" s="450"/>
      <c r="CI50" s="450"/>
    </row>
  </sheetData>
  <sheetProtection algorithmName="SHA-512" hashValue="4bjLLQd7Ghl9ZyQaH51wc2Vtce+B+lJXz9Km4Mrt5ILofXkltfRlaOUy+ixIs8PiGnkJoQT9SVV8iI7NQefF/A==" saltValue="Jhxvv2YjZNVt6xuWLiHA5g==" spinCount="100000" sheet="1" objects="1" scenarios="1"/>
  <hyperlinks>
    <hyperlink ref="I4" location="Abandonment!A1" display="Abandon" xr:uid="{00000000-0004-0000-1C00-000000000000}"/>
    <hyperlink ref="O4" location="'Federal Tax'!A1" display="Federal" xr:uid="{00000000-0004-0000-1C00-000001000000}"/>
    <hyperlink ref="N4" location="'Provincial Tax'!A1" display="Provincial" xr:uid="{00000000-0004-0000-1C00-000002000000}"/>
    <hyperlink ref="M4" location="Royalty!A1" display="Royalty" xr:uid="{00000000-0004-0000-1C00-000003000000}"/>
    <hyperlink ref="J4" location="Operations!A1" display="Operating" xr:uid="{00000000-0004-0000-1C00-000004000000}"/>
    <hyperlink ref="H4" location="Development!A1" display="Capital" xr:uid="{00000000-0004-0000-1C00-000005000000}"/>
    <hyperlink ref="F4" location="Exploration!A1" display="Exploration" xr:uid="{00000000-0004-0000-1C00-000006000000}"/>
    <hyperlink ref="H1" location="Guide" display="Guide" xr:uid="{00000000-0004-0000-1C00-000007000000}"/>
    <hyperlink ref="H2" location="Input" display="Input" xr:uid="{10DE9660-8EE3-47FB-9C74-595746210D63}"/>
  </hyperlinks>
  <pageMargins left="0.7" right="0.7" top="0.75" bottom="0.75" header="0.3" footer="0.3"/>
  <pageSetup paperSize="9" scale="66" fitToWidth="0" orientation="landscape" r:id="rId1"/>
  <headerFooter>
    <oddFooter>&amp;LNova Scotia Exploration Economics Model&amp;Rwww.indeva.com</oddFooter>
  </headerFooter>
  <colBreaks count="1" manualBreakCount="1">
    <brk id="17"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0">
    <tabColor theme="3" tint="0.79998168889431442"/>
    <pageSetUpPr fitToPage="1"/>
  </sheetPr>
  <dimension ref="A1:AK132"/>
  <sheetViews>
    <sheetView showGridLines="0" showRowColHeaders="0" zoomScale="75" zoomScaleNormal="75" workbookViewId="0">
      <pane xSplit="1" ySplit="10" topLeftCell="B11" activePane="bottomRight" state="frozen"/>
      <selection activeCell="D43" sqref="D43"/>
      <selection pane="topRight" activeCell="D43" sqref="D43"/>
      <selection pane="bottomLeft" activeCell="D43" sqref="D43"/>
      <selection pane="bottomRight" activeCell="B11" sqref="B11"/>
    </sheetView>
  </sheetViews>
  <sheetFormatPr defaultRowHeight="15"/>
  <cols>
    <col min="1" max="1" width="13.7109375" customWidth="1"/>
    <col min="2" max="3" width="12.140625" customWidth="1"/>
    <col min="4" max="4" width="15.85546875" customWidth="1"/>
    <col min="5" max="5" width="12.7109375" customWidth="1"/>
    <col min="6" max="6" width="10.85546875" customWidth="1"/>
    <col min="7" max="7" width="10.5703125" customWidth="1"/>
    <col min="10" max="10" width="14.28515625" customWidth="1"/>
    <col min="15" max="15" width="11" customWidth="1"/>
    <col min="16" max="16" width="16" customWidth="1"/>
  </cols>
  <sheetData>
    <row r="1" spans="1:37" ht="18.75">
      <c r="A1" s="92"/>
      <c r="B1" s="92" t="s">
        <v>417</v>
      </c>
      <c r="C1" s="92"/>
      <c r="D1" s="64"/>
      <c r="E1" s="64"/>
      <c r="F1" s="93" t="s">
        <v>756</v>
      </c>
      <c r="G1" s="64"/>
      <c r="H1" s="64"/>
      <c r="I1" s="64"/>
      <c r="J1" s="64"/>
      <c r="K1" s="64"/>
      <c r="L1" s="64"/>
      <c r="M1" s="64"/>
      <c r="N1" s="64"/>
      <c r="O1" s="64"/>
      <c r="P1" s="64"/>
      <c r="Q1" s="64"/>
      <c r="R1" s="64"/>
      <c r="S1" s="64"/>
      <c r="T1" s="64"/>
      <c r="U1" s="64"/>
      <c r="V1" s="64"/>
      <c r="W1" s="64"/>
      <c r="X1" s="64"/>
      <c r="Y1" s="64"/>
      <c r="Z1" s="64"/>
      <c r="AA1" s="64"/>
      <c r="AB1" s="64"/>
      <c r="AC1" s="64"/>
      <c r="AD1" s="64"/>
      <c r="AE1" s="64"/>
      <c r="AF1" s="64"/>
      <c r="AG1" s="64"/>
      <c r="AH1" s="64"/>
      <c r="AI1" s="64"/>
      <c r="AJ1" s="64"/>
      <c r="AK1" s="64"/>
    </row>
    <row r="2" spans="1:37" ht="18.75">
      <c r="A2" s="64"/>
      <c r="B2" s="64"/>
      <c r="C2" s="64"/>
      <c r="D2" s="64"/>
      <c r="E2" s="64"/>
      <c r="F2" s="93" t="s">
        <v>139</v>
      </c>
      <c r="G2" s="64"/>
      <c r="H2" s="64"/>
      <c r="I2" s="64"/>
      <c r="J2" s="64"/>
      <c r="K2" s="64"/>
      <c r="L2" s="178" t="s">
        <v>968</v>
      </c>
      <c r="M2" s="64"/>
      <c r="N2" s="64"/>
      <c r="O2" s="64"/>
      <c r="P2" s="64"/>
      <c r="Q2" s="64"/>
      <c r="R2" s="64"/>
      <c r="S2" s="64"/>
      <c r="T2" s="64"/>
      <c r="U2" s="64"/>
      <c r="V2" s="64"/>
      <c r="W2" s="64"/>
      <c r="X2" s="64"/>
      <c r="Y2" s="64"/>
      <c r="Z2" s="64"/>
      <c r="AA2" s="64"/>
      <c r="AB2" s="64"/>
      <c r="AC2" s="64"/>
      <c r="AD2" s="64"/>
      <c r="AE2" s="64"/>
      <c r="AF2" s="64"/>
      <c r="AG2" s="64"/>
      <c r="AH2" s="64"/>
      <c r="AI2" s="64"/>
      <c r="AJ2" s="64"/>
      <c r="AK2" s="64"/>
    </row>
    <row r="3" spans="1:37">
      <c r="A3" s="85" t="s">
        <v>418</v>
      </c>
      <c r="B3" s="209" t="str">
        <f>FIXED(RIGHT(LEFT(Thresholds!E4,10),1),0)</f>
        <v>1</v>
      </c>
      <c r="C3" s="209"/>
      <c r="D3" s="85" t="str">
        <f>RIGHT(Thresholds!E4,LEN(Thresholds!E4)-13)</f>
        <v>Base</v>
      </c>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c r="AG3" s="64"/>
      <c r="AH3" s="64"/>
      <c r="AI3" s="64"/>
      <c r="AJ3" s="64"/>
      <c r="AK3" s="64"/>
    </row>
    <row r="4" spans="1:37">
      <c r="A4" s="85" t="s">
        <v>419</v>
      </c>
      <c r="B4" s="85">
        <f>(B3-1)*10</f>
        <v>0</v>
      </c>
      <c r="C4" s="64" t="s">
        <v>1013</v>
      </c>
      <c r="D4" s="64">
        <f>IF(Input!B3='Selected Economics'!C4,1,0)</f>
        <v>0</v>
      </c>
      <c r="E4" s="64"/>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row>
    <row r="5" spans="1:37">
      <c r="A5" s="87" t="s">
        <v>420</v>
      </c>
      <c r="B5" s="85">
        <f>YEAR('Cost Assumptions'!O5)</f>
        <v>2023</v>
      </c>
      <c r="C5" s="64"/>
      <c r="D5" s="64"/>
      <c r="E5" s="64"/>
      <c r="F5" s="64"/>
      <c r="G5" s="64"/>
      <c r="H5" s="64"/>
      <c r="I5" s="64"/>
      <c r="J5" s="64"/>
      <c r="K5" s="64"/>
      <c r="L5" s="64"/>
      <c r="M5" s="64"/>
      <c r="N5" s="64"/>
      <c r="O5" s="64"/>
      <c r="P5" s="64"/>
      <c r="Q5" s="64"/>
      <c r="R5" s="64"/>
      <c r="S5" s="64"/>
      <c r="T5" s="64"/>
      <c r="U5" s="64"/>
      <c r="V5" s="64"/>
      <c r="W5" s="64"/>
      <c r="X5" s="64"/>
      <c r="Y5" s="64"/>
      <c r="Z5" s="64"/>
      <c r="AA5" s="64"/>
      <c r="AB5" s="64"/>
      <c r="AC5" s="64"/>
      <c r="AD5" s="64"/>
      <c r="AE5" s="64"/>
      <c r="AF5" s="64"/>
      <c r="AG5" s="64"/>
      <c r="AH5" s="64"/>
      <c r="AI5" s="64"/>
      <c r="AJ5" s="64"/>
      <c r="AK5" s="64"/>
    </row>
    <row r="6" spans="1:37">
      <c r="A6" s="85"/>
      <c r="B6" s="85">
        <f t="shared" ref="B6:G6" si="0">A6+1</f>
        <v>1</v>
      </c>
      <c r="C6" s="85">
        <f t="shared" si="0"/>
        <v>2</v>
      </c>
      <c r="D6" s="85">
        <f t="shared" si="0"/>
        <v>3</v>
      </c>
      <c r="E6" s="85">
        <f t="shared" si="0"/>
        <v>4</v>
      </c>
      <c r="F6" s="85">
        <f t="shared" si="0"/>
        <v>5</v>
      </c>
      <c r="G6" s="85">
        <f t="shared" si="0"/>
        <v>6</v>
      </c>
      <c r="H6" s="64">
        <v>7</v>
      </c>
      <c r="I6" s="64"/>
      <c r="J6" s="64"/>
      <c r="K6" s="64"/>
      <c r="L6" s="64"/>
      <c r="M6" s="64"/>
      <c r="N6" s="64"/>
      <c r="O6" s="64"/>
      <c r="P6" s="64"/>
      <c r="Q6" s="64"/>
      <c r="R6" s="64"/>
      <c r="S6" s="64"/>
      <c r="T6" s="64"/>
      <c r="U6" s="64"/>
      <c r="V6" s="64"/>
      <c r="W6" s="64"/>
      <c r="X6" s="64"/>
      <c r="Y6" s="64"/>
      <c r="Z6" s="64"/>
      <c r="AA6" s="64"/>
      <c r="AB6" s="64"/>
      <c r="AC6" s="64"/>
      <c r="AD6" s="64"/>
      <c r="AE6" s="64"/>
      <c r="AF6" s="64"/>
      <c r="AG6" s="64"/>
      <c r="AH6" s="64"/>
      <c r="AI6" s="64"/>
      <c r="AJ6" s="64"/>
      <c r="AK6" s="64"/>
    </row>
    <row r="7" spans="1:37">
      <c r="A7" s="106"/>
      <c r="B7" s="89" t="s">
        <v>421</v>
      </c>
      <c r="C7" s="89" t="s">
        <v>421</v>
      </c>
      <c r="D7" s="89" t="s">
        <v>422</v>
      </c>
      <c r="E7" s="89" t="s">
        <v>423</v>
      </c>
      <c r="F7" s="89" t="s">
        <v>424</v>
      </c>
      <c r="G7" s="89" t="s">
        <v>425</v>
      </c>
      <c r="H7" s="64" t="s">
        <v>1013</v>
      </c>
      <c r="I7" s="64"/>
      <c r="J7" s="89" t="s">
        <v>426</v>
      </c>
      <c r="K7" s="64"/>
      <c r="L7" s="89" t="s">
        <v>57</v>
      </c>
      <c r="M7" s="64"/>
      <c r="N7" s="64"/>
      <c r="O7" s="89" t="s">
        <v>973</v>
      </c>
      <c r="P7" s="89" t="s">
        <v>757</v>
      </c>
      <c r="Q7" s="64"/>
      <c r="R7" s="64"/>
      <c r="S7" s="64"/>
      <c r="T7" s="64"/>
      <c r="U7" s="64"/>
      <c r="V7" s="64"/>
      <c r="W7" s="64"/>
      <c r="X7" s="64"/>
      <c r="Y7" s="64"/>
      <c r="Z7" s="64"/>
      <c r="AA7" s="64"/>
      <c r="AB7" s="64"/>
      <c r="AC7" s="64"/>
      <c r="AD7" s="64"/>
      <c r="AE7" s="64"/>
      <c r="AF7" s="64"/>
      <c r="AG7" s="64"/>
      <c r="AH7" s="64"/>
      <c r="AI7" s="64"/>
      <c r="AJ7" s="64"/>
      <c r="AK7" s="64"/>
    </row>
    <row r="8" spans="1:37">
      <c r="A8" s="108" t="s">
        <v>14</v>
      </c>
      <c r="B8" s="90" t="s">
        <v>929</v>
      </c>
      <c r="C8" s="90" t="s">
        <v>635</v>
      </c>
      <c r="D8" s="90" t="s">
        <v>427</v>
      </c>
      <c r="E8" s="90"/>
      <c r="F8" s="90" t="s">
        <v>426</v>
      </c>
      <c r="G8" s="90" t="s">
        <v>428</v>
      </c>
      <c r="H8" s="64" t="s">
        <v>770</v>
      </c>
      <c r="I8" s="64"/>
      <c r="J8" s="645" t="s">
        <v>969</v>
      </c>
      <c r="K8" s="64"/>
      <c r="L8" s="108"/>
      <c r="M8" s="64"/>
      <c r="N8" s="64"/>
      <c r="O8" s="90" t="s">
        <v>974</v>
      </c>
      <c r="P8" s="90" t="s">
        <v>57</v>
      </c>
      <c r="Q8" s="64"/>
      <c r="R8" s="64"/>
      <c r="S8" s="64"/>
      <c r="T8" s="64"/>
      <c r="U8" s="64"/>
      <c r="V8" s="64"/>
      <c r="W8" s="64"/>
      <c r="X8" s="64"/>
      <c r="Y8" s="64"/>
      <c r="Z8" s="64"/>
      <c r="AA8" s="64"/>
      <c r="AB8" s="64"/>
      <c r="AC8" s="64"/>
      <c r="AD8" s="64"/>
      <c r="AE8" s="64"/>
      <c r="AF8" s="64"/>
      <c r="AG8" s="64"/>
      <c r="AH8" s="64"/>
      <c r="AI8" s="64"/>
      <c r="AJ8" s="64"/>
      <c r="AK8" s="64"/>
    </row>
    <row r="9" spans="1:37">
      <c r="A9" s="110"/>
      <c r="B9" s="97" t="s">
        <v>429</v>
      </c>
      <c r="C9" s="97" t="s">
        <v>429</v>
      </c>
      <c r="D9" s="97" t="s">
        <v>430</v>
      </c>
      <c r="E9" s="97" t="s">
        <v>431</v>
      </c>
      <c r="F9" s="97"/>
      <c r="G9" s="97" t="s">
        <v>432</v>
      </c>
      <c r="H9" s="418">
        <f ca="1">INDEX('Economic Assumptions'!$B$12:$CC$85,YEAR(Input!I14)-N11+1,$B$4+H$6)</f>
        <v>1</v>
      </c>
      <c r="I9" s="64"/>
      <c r="J9" s="646"/>
      <c r="K9" s="64"/>
      <c r="L9" s="110"/>
      <c r="M9" s="64"/>
      <c r="N9" s="64"/>
      <c r="O9" s="97"/>
      <c r="P9" s="97"/>
      <c r="Q9" s="64"/>
      <c r="R9" s="64"/>
      <c r="S9" s="64"/>
      <c r="T9" s="64"/>
      <c r="U9" s="64"/>
      <c r="V9" s="64"/>
      <c r="W9" s="64"/>
      <c r="X9" s="64"/>
      <c r="Y9" s="64"/>
      <c r="Z9" s="64"/>
      <c r="AA9" s="64"/>
      <c r="AB9" s="64"/>
      <c r="AC9" s="64"/>
      <c r="AD9" s="64"/>
      <c r="AE9" s="64"/>
      <c r="AF9" s="64"/>
      <c r="AG9" s="64"/>
      <c r="AH9" s="64"/>
      <c r="AI9" s="64"/>
      <c r="AJ9" s="64"/>
      <c r="AK9" s="64"/>
    </row>
    <row r="10" spans="1:37">
      <c r="A10" s="64"/>
      <c r="B10" s="64"/>
      <c r="C10" s="64"/>
      <c r="D10" s="64"/>
      <c r="E10" s="64"/>
      <c r="F10" s="64"/>
      <c r="G10" s="64"/>
      <c r="H10" s="64"/>
      <c r="I10" s="64"/>
      <c r="J10" s="405"/>
      <c r="K10" s="64"/>
      <c r="L10" s="64"/>
      <c r="M10" s="64"/>
      <c r="N10" s="64"/>
      <c r="O10" s="64">
        <v>1</v>
      </c>
      <c r="P10" s="200">
        <v>1</v>
      </c>
      <c r="Q10" s="64"/>
      <c r="R10" s="64"/>
      <c r="S10" s="64"/>
      <c r="T10" s="64"/>
      <c r="U10" s="64"/>
      <c r="V10" s="64"/>
      <c r="W10" s="64"/>
      <c r="X10" s="64"/>
      <c r="Y10" s="64"/>
      <c r="Z10" s="64"/>
      <c r="AA10" s="64"/>
      <c r="AB10" s="64"/>
      <c r="AC10" s="64"/>
      <c r="AD10" s="64"/>
      <c r="AE10" s="64"/>
      <c r="AF10" s="64"/>
      <c r="AG10" s="64"/>
      <c r="AH10" s="64"/>
      <c r="AI10" s="64"/>
      <c r="AJ10" s="64"/>
      <c r="AK10" s="64"/>
    </row>
    <row r="11" spans="1:37">
      <c r="A11" s="106">
        <f>'Success Cash Flow'!A10</f>
        <v>2023</v>
      </c>
      <c r="B11" s="147">
        <f>INDEX('Economic Assumptions'!$B$12:$CC$85,$L11,$B$4+B$6)+'Economic Assumptions'!B$9*'Selected Economics'!$P11</f>
        <v>64</v>
      </c>
      <c r="C11" s="147">
        <f>INDEX('Economic Assumptions'!$B$12:$CC$85,$L11,$B$4+C$6)+'Economic Assumptions'!C$9*'Selected Economics'!$P11</f>
        <v>80</v>
      </c>
      <c r="D11" s="147">
        <f>INDEX('Economic Assumptions'!$B$12:$CC$85,$L11,$B$4+D$6)+'Economic Assumptions'!D$9*'Selected Economics'!$P11</f>
        <v>2.25</v>
      </c>
      <c r="E11" s="210">
        <f>INDEX('Economic Assumptions'!$B$12:$CC$85,$L11,$B$4+E$6)</f>
        <v>0.73</v>
      </c>
      <c r="F11" s="195">
        <f>INDEX('Economic Assumptions'!$B$12:$CC$85,$L11,$B$4+F$6)</f>
        <v>5.6000000000000008E-2</v>
      </c>
      <c r="G11" s="195">
        <f>INDEX('Economic Assumptions'!$B$12:$CC$85,$L11,$B$4+G$6)</f>
        <v>3.5000000000000003E-2</v>
      </c>
      <c r="H11" s="418">
        <f>IF($D$4=1,INDEX('Economic Assumptions'!$B$12:$CC$85,$L11,$B$4+H$6)/H$9,1)</f>
        <v>1</v>
      </c>
      <c r="I11" s="195"/>
      <c r="J11" s="211">
        <f t="shared" ref="J11:J50" si="1">VLOOKUP(A11,$N$11:$P$84,3)</f>
        <v>1</v>
      </c>
      <c r="K11" s="64"/>
      <c r="L11" s="106">
        <f>A11-'Economic Assumptions'!A12+1</f>
        <v>4</v>
      </c>
      <c r="M11" s="64"/>
      <c r="N11" s="108">
        <f>'Economic Assumptions'!A12</f>
        <v>2020</v>
      </c>
      <c r="O11" s="108">
        <f>(1+INDEX('Economic Assumptions'!$B$12:$CC$85,L11,$B$4+F$6))*O10</f>
        <v>1.056</v>
      </c>
      <c r="P11" s="212">
        <f>IF(N11&lt;=$B$5,1,(1+INDEX('Economic Assumptions'!$B$12:$CC$85,L11,$B$4+F$6))*P10)</f>
        <v>1</v>
      </c>
      <c r="Q11" s="64"/>
      <c r="R11" s="64"/>
      <c r="S11" s="64"/>
      <c r="T11" s="64"/>
      <c r="U11" s="64"/>
      <c r="V11" s="64"/>
      <c r="W11" s="64"/>
      <c r="X11" s="64"/>
      <c r="Y11" s="64"/>
      <c r="Z11" s="64"/>
      <c r="AA11" s="64"/>
      <c r="AB11" s="64"/>
      <c r="AC11" s="64"/>
      <c r="AD11" s="64"/>
      <c r="AE11" s="64"/>
      <c r="AF11" s="64"/>
      <c r="AG11" s="64"/>
      <c r="AH11" s="64"/>
      <c r="AI11" s="64"/>
      <c r="AJ11" s="64"/>
      <c r="AK11" s="64"/>
    </row>
    <row r="12" spans="1:37">
      <c r="A12" s="108">
        <f>A11+1</f>
        <v>2024</v>
      </c>
      <c r="B12" s="149">
        <f>INDEX('Economic Assumptions'!$B$12:$CC$85,$L12,$B$4+B$6)+'Economic Assumptions'!B$9*'Selected Economics'!$P12</f>
        <v>64</v>
      </c>
      <c r="C12" s="149">
        <f>INDEX('Economic Assumptions'!$B$12:$CC$85,$L12,$B$4+C$6)+'Economic Assumptions'!C$9*'Selected Economics'!$P12</f>
        <v>80</v>
      </c>
      <c r="D12" s="149">
        <f>INDEX('Economic Assumptions'!$B$12:$CC$85,$L12,$B$4+D$6)+'Economic Assumptions'!D$9*'Selected Economics'!$P12</f>
        <v>2.5</v>
      </c>
      <c r="E12" s="213">
        <f>INDEX('Economic Assumptions'!$B$12:$CC$85,$L12,$B$4+E$6)</f>
        <v>0.73</v>
      </c>
      <c r="F12" s="197">
        <f>INDEX('Economic Assumptions'!$B$12:$CC$85,$L12,$B$4+F$6)</f>
        <v>4.4800000000000006E-2</v>
      </c>
      <c r="G12" s="197">
        <f>INDEX('Economic Assumptions'!$B$12:$CC$85,$L12,$B$4+G$6)</f>
        <v>3.2000000000000001E-2</v>
      </c>
      <c r="H12" s="419">
        <f>IF($D$4=1,INDEX('Economic Assumptions'!$B$12:$CC$85,$L12,$B$4+H$6)/H$9,1)</f>
        <v>1</v>
      </c>
      <c r="I12" s="64"/>
      <c r="J12" s="214">
        <f t="shared" si="1"/>
        <v>1.03</v>
      </c>
      <c r="K12" s="64"/>
      <c r="L12" s="108">
        <f>L11+1</f>
        <v>5</v>
      </c>
      <c r="M12" s="64"/>
      <c r="N12" s="108">
        <f>'Economic Assumptions'!A13</f>
        <v>2021</v>
      </c>
      <c r="O12" s="108">
        <f>(1+INDEX('Economic Assumptions'!$B$12:$CC$85,L12,$B$4+F$6))*O11</f>
        <v>1.1033088</v>
      </c>
      <c r="P12" s="472">
        <f>IF(N12&lt;=$B$5,1,(1+INDEX('Economic Assumptions'!$B$12:$CC$85,L12,$B$4+F$6))*P11)</f>
        <v>1</v>
      </c>
      <c r="Q12" s="64"/>
      <c r="R12" s="64"/>
      <c r="S12" s="64"/>
      <c r="T12" s="64"/>
      <c r="U12" s="64"/>
      <c r="V12" s="64"/>
      <c r="W12" s="64"/>
      <c r="X12" s="64"/>
      <c r="Y12" s="64"/>
      <c r="Z12" s="64"/>
      <c r="AA12" s="64"/>
      <c r="AB12" s="64"/>
      <c r="AC12" s="64"/>
      <c r="AD12" s="64"/>
      <c r="AE12" s="64"/>
      <c r="AF12" s="64"/>
      <c r="AG12" s="64"/>
      <c r="AH12" s="64"/>
      <c r="AI12" s="64"/>
      <c r="AJ12" s="64"/>
      <c r="AK12" s="64"/>
    </row>
    <row r="13" spans="1:37">
      <c r="A13" s="108">
        <f t="shared" ref="A13:A50" si="2">A12+1</f>
        <v>2025</v>
      </c>
      <c r="B13" s="149">
        <f>INDEX('Economic Assumptions'!$B$12:$CC$85,$L13,$B$4+B$6)+'Economic Assumptions'!B$9*'Selected Economics'!$P13</f>
        <v>66.040000000000006</v>
      </c>
      <c r="C13" s="149">
        <f>INDEX('Economic Assumptions'!$B$12:$CC$85,$L13,$B$4+C$6)+'Economic Assumptions'!C$9*'Selected Economics'!$P13</f>
        <v>82.55</v>
      </c>
      <c r="D13" s="149">
        <f>INDEX('Economic Assumptions'!$B$12:$CC$85,$L13,$B$4+D$6)+'Economic Assumptions'!D$9*'Selected Economics'!$P13</f>
        <v>2.59</v>
      </c>
      <c r="E13" s="213">
        <f>INDEX('Economic Assumptions'!$B$12:$CC$85,$L13,$B$4+E$6)</f>
        <v>0.73</v>
      </c>
      <c r="F13" s="197">
        <f>INDEX('Economic Assumptions'!$B$12:$CC$85,$L13,$B$4+F$6)</f>
        <v>3.5840000000000004E-2</v>
      </c>
      <c r="G13" s="197">
        <f>INDEX('Economic Assumptions'!$B$12:$CC$85,$L13,$B$4+G$6)</f>
        <v>2.9000000000000001E-2</v>
      </c>
      <c r="H13" s="419">
        <f>IF($D$4=1,INDEX('Economic Assumptions'!$B$12:$CC$85,$L13,$B$4+H$6)/H$9,1)</f>
        <v>1</v>
      </c>
      <c r="I13" s="64"/>
      <c r="J13" s="214">
        <f t="shared" si="1"/>
        <v>1.0609</v>
      </c>
      <c r="K13" s="64"/>
      <c r="L13" s="108">
        <f t="shared" ref="L13:L50" si="3">L12+1</f>
        <v>6</v>
      </c>
      <c r="M13" s="64"/>
      <c r="N13" s="108">
        <f>'Economic Assumptions'!A14</f>
        <v>2022</v>
      </c>
      <c r="O13" s="108">
        <f>(1+INDEX('Economic Assumptions'!$B$12:$CC$85,L13,$B$4+F$6))*O12</f>
        <v>1.1428513873920001</v>
      </c>
      <c r="P13" s="472">
        <f>IF(N13&lt;=$B$5,1,(1+INDEX('Economic Assumptions'!$B$12:$CC$85,L13,$B$4+F$6))*P12)</f>
        <v>1</v>
      </c>
      <c r="Q13" s="64"/>
      <c r="R13" s="64"/>
      <c r="S13" s="64"/>
      <c r="T13" s="64"/>
      <c r="U13" s="64"/>
      <c r="V13" s="64"/>
      <c r="W13" s="64"/>
      <c r="X13" s="64"/>
      <c r="Y13" s="64"/>
      <c r="Z13" s="64"/>
      <c r="AA13" s="64"/>
      <c r="AB13" s="64"/>
      <c r="AC13" s="64"/>
      <c r="AD13" s="64"/>
      <c r="AE13" s="64"/>
      <c r="AF13" s="64"/>
      <c r="AG13" s="64"/>
      <c r="AH13" s="64"/>
      <c r="AI13" s="64"/>
      <c r="AJ13" s="64"/>
      <c r="AK13" s="64"/>
    </row>
    <row r="14" spans="1:37">
      <c r="A14" s="108">
        <f t="shared" si="2"/>
        <v>2026</v>
      </c>
      <c r="B14" s="149">
        <f>INDEX('Economic Assumptions'!$B$12:$CC$85,$L14,$B$4+B$6)+'Economic Assumptions'!B$9*'Selected Economics'!$P14</f>
        <v>68.141200000000012</v>
      </c>
      <c r="C14" s="149">
        <f>INDEX('Economic Assumptions'!$B$12:$CC$85,$L14,$B$4+C$6)+'Economic Assumptions'!C$9*'Selected Economics'!$P14</f>
        <v>85.176500000000004</v>
      </c>
      <c r="D14" s="149">
        <f>INDEX('Economic Assumptions'!$B$12:$CC$85,$L14,$B$4+D$6)+'Economic Assumptions'!D$9*'Selected Economics'!$P14</f>
        <v>2.6827000000000001</v>
      </c>
      <c r="E14" s="213">
        <f>INDEX('Economic Assumptions'!$B$12:$CC$85,$L14,$B$4+E$6)</f>
        <v>0.73</v>
      </c>
      <c r="F14" s="197">
        <f>INDEX('Economic Assumptions'!$B$12:$CC$85,$L14,$B$4+F$6)</f>
        <v>0.03</v>
      </c>
      <c r="G14" s="197">
        <f>INDEX('Economic Assumptions'!$B$12:$CC$85,$L14,$B$4+G$6)</f>
        <v>2.5000000000000001E-2</v>
      </c>
      <c r="H14" s="419">
        <f>IF($D$4=1,INDEX('Economic Assumptions'!$B$12:$CC$85,$L14,$B$4+H$6)/H$9,1)</f>
        <v>1</v>
      </c>
      <c r="I14" s="64"/>
      <c r="J14" s="214">
        <f t="shared" si="1"/>
        <v>1.092727</v>
      </c>
      <c r="K14" s="64"/>
      <c r="L14" s="108">
        <f t="shared" si="3"/>
        <v>7</v>
      </c>
      <c r="M14" s="64"/>
      <c r="N14" s="108">
        <f>'Economic Assumptions'!A15</f>
        <v>2023</v>
      </c>
      <c r="O14" s="108">
        <f>(1+INDEX('Economic Assumptions'!$B$12:$CC$85,L14,$B$4+F$6))*O13</f>
        <v>1.1771369290137601</v>
      </c>
      <c r="P14" s="472">
        <f>IF(N14&lt;=$B$5,1,(1+INDEX('Economic Assumptions'!$B$12:$CC$85,L14,$B$4+F$6))*P13)</f>
        <v>1</v>
      </c>
      <c r="Q14" s="64"/>
      <c r="R14" s="64"/>
      <c r="S14" s="64"/>
      <c r="T14" s="64"/>
      <c r="U14" s="64"/>
      <c r="V14" s="64"/>
      <c r="W14" s="64"/>
      <c r="X14" s="64"/>
      <c r="Y14" s="64"/>
      <c r="Z14" s="64"/>
      <c r="AA14" s="64"/>
      <c r="AB14" s="64"/>
      <c r="AC14" s="64"/>
      <c r="AD14" s="64"/>
      <c r="AE14" s="64"/>
      <c r="AF14" s="64"/>
      <c r="AG14" s="64"/>
      <c r="AH14" s="64"/>
      <c r="AI14" s="64"/>
      <c r="AJ14" s="64"/>
      <c r="AK14" s="64"/>
    </row>
    <row r="15" spans="1:37">
      <c r="A15" s="108">
        <f t="shared" si="2"/>
        <v>2027</v>
      </c>
      <c r="B15" s="149">
        <f>INDEX('Economic Assumptions'!$B$12:$CC$85,$L15,$B$4+B$6)+'Economic Assumptions'!B$9*'Selected Economics'!$P15</f>
        <v>70.18543600000001</v>
      </c>
      <c r="C15" s="149">
        <f>INDEX('Economic Assumptions'!$B$12:$CC$85,$L15,$B$4+C$6)+'Economic Assumptions'!C$9*'Selected Economics'!$P15</f>
        <v>87.731795000000005</v>
      </c>
      <c r="D15" s="149">
        <f>INDEX('Economic Assumptions'!$B$12:$CC$85,$L15,$B$4+D$6)+'Economic Assumptions'!D$9*'Selected Economics'!$P15</f>
        <v>2.7631809999999999</v>
      </c>
      <c r="E15" s="213">
        <f>INDEX('Economic Assumptions'!$B$12:$CC$85,$L15,$B$4+E$6)</f>
        <v>0.73</v>
      </c>
      <c r="F15" s="197">
        <f>INDEX('Economic Assumptions'!$B$12:$CC$85,$L15,$B$4+F$6)</f>
        <v>0.03</v>
      </c>
      <c r="G15" s="197">
        <f>INDEX('Economic Assumptions'!$B$12:$CC$85,$L15,$B$4+G$6)</f>
        <v>2.5000000000000001E-2</v>
      </c>
      <c r="H15" s="419">
        <f>IF($D$4=1,INDEX('Economic Assumptions'!$B$12:$CC$85,$L15,$B$4+H$6)/H$9,1)</f>
        <v>1</v>
      </c>
      <c r="I15" s="64"/>
      <c r="J15" s="214">
        <f t="shared" si="1"/>
        <v>1.1255088100000001</v>
      </c>
      <c r="K15" s="64"/>
      <c r="L15" s="108">
        <f t="shared" si="3"/>
        <v>8</v>
      </c>
      <c r="M15" s="64"/>
      <c r="N15" s="108">
        <f>'Economic Assumptions'!A16</f>
        <v>2024</v>
      </c>
      <c r="O15" s="108">
        <f>(1+INDEX('Economic Assumptions'!$B$12:$CC$85,L15,$B$4+F$6))*O14</f>
        <v>1.212451036884173</v>
      </c>
      <c r="P15" s="472">
        <f>IF(N15&lt;=$B$5,1,(1+INDEX('Economic Assumptions'!$B$12:$CC$85,L15,$B$4+F$6))*P14)</f>
        <v>1.03</v>
      </c>
      <c r="Q15" s="64"/>
      <c r="R15" s="64"/>
      <c r="S15" s="64"/>
      <c r="T15" s="64"/>
      <c r="U15" s="64"/>
      <c r="V15" s="64"/>
      <c r="W15" s="64"/>
      <c r="X15" s="64"/>
      <c r="Y15" s="64"/>
      <c r="Z15" s="64"/>
      <c r="AA15" s="64"/>
      <c r="AB15" s="64"/>
      <c r="AC15" s="64"/>
      <c r="AD15" s="64"/>
      <c r="AE15" s="64"/>
      <c r="AF15" s="64"/>
      <c r="AG15" s="64"/>
      <c r="AH15" s="64"/>
      <c r="AI15" s="64"/>
      <c r="AJ15" s="64"/>
      <c r="AK15" s="64"/>
    </row>
    <row r="16" spans="1:37">
      <c r="A16" s="108">
        <f t="shared" si="2"/>
        <v>2028</v>
      </c>
      <c r="B16" s="149">
        <f>INDEX('Economic Assumptions'!$B$12:$CC$85,$L16,$B$4+B$6)+'Economic Assumptions'!B$9*'Selected Economics'!$P16</f>
        <v>72.290999080000006</v>
      </c>
      <c r="C16" s="149">
        <f>INDEX('Economic Assumptions'!$B$12:$CC$85,$L16,$B$4+C$6)+'Economic Assumptions'!C$9*'Selected Economics'!$P16</f>
        <v>90.363748850000007</v>
      </c>
      <c r="D16" s="149">
        <f>INDEX('Economic Assumptions'!$B$12:$CC$85,$L16,$B$4+D$6)+'Economic Assumptions'!D$9*'Selected Economics'!$P16</f>
        <v>2.8460764300000001</v>
      </c>
      <c r="E16" s="213">
        <f>INDEX('Economic Assumptions'!$B$12:$CC$85,$L16,$B$4+E$6)</f>
        <v>0.73</v>
      </c>
      <c r="F16" s="197">
        <f>INDEX('Economic Assumptions'!$B$12:$CC$85,$L16,$B$4+F$6)</f>
        <v>0.03</v>
      </c>
      <c r="G16" s="197">
        <f>INDEX('Economic Assumptions'!$B$12:$CC$85,$L16,$B$4+G$6)</f>
        <v>2.5000000000000001E-2</v>
      </c>
      <c r="H16" s="419">
        <f>IF($D$4=1,INDEX('Economic Assumptions'!$B$12:$CC$85,$L16,$B$4+H$6)/H$9,1)</f>
        <v>1</v>
      </c>
      <c r="I16" s="64"/>
      <c r="J16" s="214">
        <f t="shared" si="1"/>
        <v>1.1592740743000001</v>
      </c>
      <c r="K16" s="64"/>
      <c r="L16" s="108">
        <f t="shared" si="3"/>
        <v>9</v>
      </c>
      <c r="M16" s="64"/>
      <c r="N16" s="108">
        <f>'Economic Assumptions'!A17</f>
        <v>2025</v>
      </c>
      <c r="O16" s="108">
        <f>(1+INDEX('Economic Assumptions'!$B$12:$CC$85,L16,$B$4+F$6))*O15</f>
        <v>1.2488245679906982</v>
      </c>
      <c r="P16" s="472">
        <f>IF(N16&lt;=$B$5,1,(1+INDEX('Economic Assumptions'!$B$12:$CC$85,L16,$B$4+F$6))*P15)</f>
        <v>1.0609</v>
      </c>
      <c r="Q16" s="64"/>
      <c r="R16" s="64"/>
      <c r="S16" s="64"/>
      <c r="T16" s="64"/>
      <c r="U16" s="64"/>
      <c r="V16" s="64"/>
      <c r="W16" s="64"/>
      <c r="X16" s="64"/>
      <c r="Y16" s="64"/>
      <c r="Z16" s="64"/>
      <c r="AA16" s="64"/>
      <c r="AB16" s="64"/>
      <c r="AC16" s="64"/>
      <c r="AD16" s="64"/>
      <c r="AE16" s="64"/>
      <c r="AF16" s="64"/>
      <c r="AG16" s="64"/>
      <c r="AH16" s="64"/>
      <c r="AI16" s="64"/>
      <c r="AJ16" s="64"/>
      <c r="AK16" s="64"/>
    </row>
    <row r="17" spans="1:37">
      <c r="A17" s="108">
        <f t="shared" si="2"/>
        <v>2029</v>
      </c>
      <c r="B17" s="149">
        <f>INDEX('Economic Assumptions'!$B$12:$CC$85,$L17,$B$4+B$6)+'Economic Assumptions'!B$9*'Selected Economics'!$P17</f>
        <v>74.459729052400021</v>
      </c>
      <c r="C17" s="149">
        <f>INDEX('Economic Assumptions'!$B$12:$CC$85,$L17,$B$4+C$6)+'Economic Assumptions'!C$9*'Selected Economics'!$P17</f>
        <v>93.074661315500023</v>
      </c>
      <c r="D17" s="149">
        <f>INDEX('Economic Assumptions'!$B$12:$CC$85,$L17,$B$4+D$6)+'Economic Assumptions'!D$9*'Selected Economics'!$P17</f>
        <v>2.9314587229000004</v>
      </c>
      <c r="E17" s="213">
        <f>INDEX('Economic Assumptions'!$B$12:$CC$85,$L17,$B$4+E$6)</f>
        <v>0.73</v>
      </c>
      <c r="F17" s="197">
        <f>INDEX('Economic Assumptions'!$B$12:$CC$85,$L17,$B$4+F$6)</f>
        <v>0.03</v>
      </c>
      <c r="G17" s="197">
        <f>INDEX('Economic Assumptions'!$B$12:$CC$85,$L17,$B$4+G$6)</f>
        <v>2.5000000000000001E-2</v>
      </c>
      <c r="H17" s="419">
        <f>IF($D$4=1,INDEX('Economic Assumptions'!$B$12:$CC$85,$L17,$B$4+H$6)/H$9,1)</f>
        <v>1</v>
      </c>
      <c r="I17" s="64"/>
      <c r="J17" s="214">
        <f t="shared" si="1"/>
        <v>1.1940522965290001</v>
      </c>
      <c r="K17" s="64"/>
      <c r="L17" s="108">
        <f t="shared" si="3"/>
        <v>10</v>
      </c>
      <c r="M17" s="64"/>
      <c r="N17" s="108">
        <f>'Economic Assumptions'!A18</f>
        <v>2026</v>
      </c>
      <c r="O17" s="108">
        <f>(1+INDEX('Economic Assumptions'!$B$12:$CC$85,L17,$B$4+F$6))*O16</f>
        <v>1.2862893050304192</v>
      </c>
      <c r="P17" s="472">
        <f>IF(N17&lt;=$B$5,1,(1+INDEX('Economic Assumptions'!$B$12:$CC$85,L17,$B$4+F$6))*P16)</f>
        <v>1.092727</v>
      </c>
      <c r="Q17" s="64"/>
      <c r="R17" s="64"/>
      <c r="S17" s="64"/>
      <c r="T17" s="64"/>
      <c r="U17" s="64"/>
      <c r="V17" s="64"/>
      <c r="W17" s="64"/>
      <c r="X17" s="64"/>
      <c r="Y17" s="64"/>
      <c r="Z17" s="64"/>
      <c r="AA17" s="64"/>
      <c r="AB17" s="64"/>
      <c r="AC17" s="64"/>
      <c r="AD17" s="64"/>
      <c r="AE17" s="64"/>
      <c r="AF17" s="64"/>
      <c r="AG17" s="64"/>
      <c r="AH17" s="64"/>
      <c r="AI17" s="64"/>
      <c r="AJ17" s="64"/>
      <c r="AK17" s="64"/>
    </row>
    <row r="18" spans="1:37">
      <c r="A18" s="108">
        <f t="shared" si="2"/>
        <v>2030</v>
      </c>
      <c r="B18" s="149">
        <f>INDEX('Economic Assumptions'!$B$12:$CC$85,$L18,$B$4+B$6)+'Economic Assumptions'!B$9*'Selected Economics'!$P18</f>
        <v>76.693520923972017</v>
      </c>
      <c r="C18" s="149">
        <f>INDEX('Economic Assumptions'!$B$12:$CC$85,$L18,$B$4+C$6)+'Economic Assumptions'!C$9*'Selected Economics'!$P18</f>
        <v>95.866901154965021</v>
      </c>
      <c r="D18" s="149">
        <f>INDEX('Economic Assumptions'!$B$12:$CC$85,$L18,$B$4+D$6)+'Economic Assumptions'!D$9*'Selected Economics'!$P18</f>
        <v>3.0194024845870002</v>
      </c>
      <c r="E18" s="213">
        <f>INDEX('Economic Assumptions'!$B$12:$CC$85,$L18,$B$4+E$6)</f>
        <v>0.73</v>
      </c>
      <c r="F18" s="197">
        <f>INDEX('Economic Assumptions'!$B$12:$CC$85,$L18,$B$4+F$6)</f>
        <v>0.03</v>
      </c>
      <c r="G18" s="197">
        <f>INDEX('Economic Assumptions'!$B$12:$CC$85,$L18,$B$4+G$6)</f>
        <v>2.5000000000000001E-2</v>
      </c>
      <c r="H18" s="419">
        <f>IF($D$4=1,INDEX('Economic Assumptions'!$B$12:$CC$85,$L18,$B$4+H$6)/H$9,1)</f>
        <v>1</v>
      </c>
      <c r="I18" s="64"/>
      <c r="J18" s="214">
        <f t="shared" si="1"/>
        <v>1.2298738654248702</v>
      </c>
      <c r="K18" s="64"/>
      <c r="L18" s="108">
        <f t="shared" si="3"/>
        <v>11</v>
      </c>
      <c r="M18" s="64"/>
      <c r="N18" s="108">
        <f>'Economic Assumptions'!A19</f>
        <v>2027</v>
      </c>
      <c r="O18" s="108">
        <f>(1+INDEX('Economic Assumptions'!$B$12:$CC$85,L18,$B$4+F$6))*O17</f>
        <v>1.3248779841813318</v>
      </c>
      <c r="P18" s="472">
        <f>IF(N18&lt;=$B$5,1,(1+INDEX('Economic Assumptions'!$B$12:$CC$85,L18,$B$4+F$6))*P17)</f>
        <v>1.1255088100000001</v>
      </c>
      <c r="Q18" s="64"/>
      <c r="R18" s="64"/>
      <c r="S18" s="64"/>
      <c r="T18" s="64"/>
      <c r="U18" s="64"/>
      <c r="V18" s="64"/>
      <c r="W18" s="64"/>
      <c r="X18" s="64"/>
      <c r="Y18" s="64"/>
      <c r="Z18" s="64"/>
      <c r="AA18" s="64"/>
      <c r="AB18" s="64"/>
      <c r="AC18" s="64"/>
      <c r="AD18" s="64"/>
      <c r="AE18" s="64"/>
      <c r="AF18" s="64"/>
      <c r="AG18" s="64"/>
      <c r="AH18" s="64"/>
      <c r="AI18" s="64"/>
      <c r="AJ18" s="64"/>
      <c r="AK18" s="64"/>
    </row>
    <row r="19" spans="1:37">
      <c r="A19" s="108">
        <f t="shared" si="2"/>
        <v>2031</v>
      </c>
      <c r="B19" s="149">
        <f>INDEX('Economic Assumptions'!$B$12:$CC$85,$L19,$B$4+B$6)+'Economic Assumptions'!B$9*'Selected Economics'!$P19</f>
        <v>78.994326551691188</v>
      </c>
      <c r="C19" s="149">
        <f>INDEX('Economic Assumptions'!$B$12:$CC$85,$L19,$B$4+C$6)+'Economic Assumptions'!C$9*'Selected Economics'!$P19</f>
        <v>98.742908189613971</v>
      </c>
      <c r="D19" s="149">
        <f>INDEX('Economic Assumptions'!$B$12:$CC$85,$L19,$B$4+D$6)+'Economic Assumptions'!D$9*'Selected Economics'!$P19</f>
        <v>3.1099845591246105</v>
      </c>
      <c r="E19" s="213">
        <f>INDEX('Economic Assumptions'!$B$12:$CC$85,$L19,$B$4+E$6)</f>
        <v>0.73</v>
      </c>
      <c r="F19" s="197">
        <f>INDEX('Economic Assumptions'!$B$12:$CC$85,$L19,$B$4+F$6)</f>
        <v>0.03</v>
      </c>
      <c r="G19" s="197">
        <f>INDEX('Economic Assumptions'!$B$12:$CC$85,$L19,$B$4+G$6)</f>
        <v>2.5000000000000001E-2</v>
      </c>
      <c r="H19" s="419">
        <f>IF($D$4=1,INDEX('Economic Assumptions'!$B$12:$CC$85,$L19,$B$4+H$6)/H$9,1)</f>
        <v>1</v>
      </c>
      <c r="I19" s="64"/>
      <c r="J19" s="214">
        <f t="shared" si="1"/>
        <v>1.2667700813876164</v>
      </c>
      <c r="K19" s="64"/>
      <c r="L19" s="108">
        <f t="shared" si="3"/>
        <v>12</v>
      </c>
      <c r="M19" s="64"/>
      <c r="N19" s="108">
        <f>'Economic Assumptions'!A20</f>
        <v>2028</v>
      </c>
      <c r="O19" s="108">
        <f>(1+INDEX('Economic Assumptions'!$B$12:$CC$85,L19,$B$4+F$6))*O18</f>
        <v>1.3646243237067719</v>
      </c>
      <c r="P19" s="472">
        <f>IF(N19&lt;=$B$5,1,(1+INDEX('Economic Assumptions'!$B$12:$CC$85,L19,$B$4+F$6))*P18)</f>
        <v>1.1592740743000001</v>
      </c>
      <c r="Q19" s="64"/>
      <c r="R19" s="64"/>
      <c r="S19" s="64"/>
      <c r="T19" s="64"/>
      <c r="U19" s="64"/>
      <c r="V19" s="64"/>
      <c r="W19" s="64"/>
      <c r="X19" s="64"/>
      <c r="Y19" s="64"/>
      <c r="Z19" s="64"/>
      <c r="AA19" s="64"/>
      <c r="AB19" s="64"/>
      <c r="AC19" s="64"/>
      <c r="AD19" s="64"/>
      <c r="AE19" s="64"/>
      <c r="AF19" s="64"/>
      <c r="AG19" s="64"/>
      <c r="AH19" s="64"/>
      <c r="AI19" s="64"/>
      <c r="AJ19" s="64"/>
      <c r="AK19" s="64"/>
    </row>
    <row r="20" spans="1:37">
      <c r="A20" s="108">
        <f t="shared" si="2"/>
        <v>2032</v>
      </c>
      <c r="B20" s="149">
        <f>INDEX('Economic Assumptions'!$B$12:$CC$85,$L20,$B$4+B$6)+'Economic Assumptions'!B$9*'Selected Economics'!$P20</f>
        <v>81.36415634824192</v>
      </c>
      <c r="C20" s="149">
        <f>INDEX('Economic Assumptions'!$B$12:$CC$85,$L20,$B$4+C$6)+'Economic Assumptions'!C$9*'Selected Economics'!$P20</f>
        <v>101.7051954353024</v>
      </c>
      <c r="D20" s="149">
        <f>INDEX('Economic Assumptions'!$B$12:$CC$85,$L20,$B$4+D$6)+'Economic Assumptions'!D$9*'Selected Economics'!$P20</f>
        <v>3.2032840958983488</v>
      </c>
      <c r="E20" s="213">
        <f>INDEX('Economic Assumptions'!$B$12:$CC$85,$L20,$B$4+E$6)</f>
        <v>0.73</v>
      </c>
      <c r="F20" s="197">
        <f>INDEX('Economic Assumptions'!$B$12:$CC$85,$L20,$B$4+F$6)</f>
        <v>0.03</v>
      </c>
      <c r="G20" s="197">
        <f>INDEX('Economic Assumptions'!$B$12:$CC$85,$L20,$B$4+G$6)</f>
        <v>2.5000000000000001E-2</v>
      </c>
      <c r="H20" s="419">
        <f>IF($D$4=1,INDEX('Economic Assumptions'!$B$12:$CC$85,$L20,$B$4+H$6)/H$9,1)</f>
        <v>1</v>
      </c>
      <c r="I20" s="64"/>
      <c r="J20" s="214">
        <f t="shared" si="1"/>
        <v>1.3047731838292449</v>
      </c>
      <c r="K20" s="64"/>
      <c r="L20" s="108">
        <f t="shared" si="3"/>
        <v>13</v>
      </c>
      <c r="M20" s="64"/>
      <c r="N20" s="108">
        <f>'Economic Assumptions'!A21</f>
        <v>2029</v>
      </c>
      <c r="O20" s="108">
        <f>(1+INDEX('Economic Assumptions'!$B$12:$CC$85,L20,$B$4+F$6))*O19</f>
        <v>1.4055630534179751</v>
      </c>
      <c r="P20" s="472">
        <f>IF(N20&lt;=$B$5,1,(1+INDEX('Economic Assumptions'!$B$12:$CC$85,L20,$B$4+F$6))*P19)</f>
        <v>1.1940522965290001</v>
      </c>
      <c r="Q20" s="64"/>
      <c r="R20" s="64"/>
      <c r="S20" s="64"/>
      <c r="T20" s="64"/>
      <c r="U20" s="64"/>
      <c r="V20" s="64"/>
      <c r="W20" s="64"/>
      <c r="X20" s="64"/>
      <c r="Y20" s="64"/>
      <c r="Z20" s="64"/>
      <c r="AA20" s="64"/>
      <c r="AB20" s="64"/>
      <c r="AC20" s="64"/>
      <c r="AD20" s="64"/>
      <c r="AE20" s="64"/>
      <c r="AF20" s="64"/>
      <c r="AG20" s="64"/>
      <c r="AH20" s="64"/>
      <c r="AI20" s="64"/>
      <c r="AJ20" s="64"/>
      <c r="AK20" s="64"/>
    </row>
    <row r="21" spans="1:37">
      <c r="A21" s="108">
        <f t="shared" si="2"/>
        <v>2033</v>
      </c>
      <c r="B21" s="149">
        <f>INDEX('Economic Assumptions'!$B$12:$CC$85,$L21,$B$4+B$6)+'Economic Assumptions'!B$9*'Selected Economics'!$P21</f>
        <v>83.805081038689181</v>
      </c>
      <c r="C21" s="149">
        <f>INDEX('Economic Assumptions'!$B$12:$CC$85,$L21,$B$4+C$6)+'Economic Assumptions'!C$9*'Selected Economics'!$P21</f>
        <v>104.75635129836148</v>
      </c>
      <c r="D21" s="149">
        <f>INDEX('Economic Assumptions'!$B$12:$CC$85,$L21,$B$4+D$6)+'Economic Assumptions'!D$9*'Selected Economics'!$P21</f>
        <v>3.299382618775299</v>
      </c>
      <c r="E21" s="213">
        <f>INDEX('Economic Assumptions'!$B$12:$CC$85,$L21,$B$4+E$6)</f>
        <v>0.73</v>
      </c>
      <c r="F21" s="197">
        <f>INDEX('Economic Assumptions'!$B$12:$CC$85,$L21,$B$4+F$6)</f>
        <v>0.03</v>
      </c>
      <c r="G21" s="197">
        <f>INDEX('Economic Assumptions'!$B$12:$CC$85,$L21,$B$4+G$6)</f>
        <v>2.5000000000000001E-2</v>
      </c>
      <c r="H21" s="419">
        <f>IF($D$4=1,INDEX('Economic Assumptions'!$B$12:$CC$85,$L21,$B$4+H$6)/H$9,1)</f>
        <v>1</v>
      </c>
      <c r="I21" s="64"/>
      <c r="J21" s="214">
        <f t="shared" si="1"/>
        <v>1.3439163793441222</v>
      </c>
      <c r="K21" s="64"/>
      <c r="L21" s="108">
        <f t="shared" si="3"/>
        <v>14</v>
      </c>
      <c r="M21" s="64"/>
      <c r="N21" s="108">
        <f>'Economic Assumptions'!A22</f>
        <v>2030</v>
      </c>
      <c r="O21" s="108">
        <f>(1+INDEX('Economic Assumptions'!$B$12:$CC$85,L21,$B$4+F$6))*O20</f>
        <v>1.4477299450205143</v>
      </c>
      <c r="P21" s="472">
        <f>IF(N21&lt;=$B$5,1,(1+INDEX('Economic Assumptions'!$B$12:$CC$85,L21,$B$4+F$6))*P20)</f>
        <v>1.2298738654248702</v>
      </c>
      <c r="Q21" s="64"/>
      <c r="R21" s="64"/>
      <c r="S21" s="64"/>
      <c r="T21" s="64"/>
      <c r="U21" s="64"/>
      <c r="V21" s="64"/>
      <c r="W21" s="64"/>
      <c r="X21" s="64"/>
      <c r="Y21" s="64"/>
      <c r="Z21" s="64"/>
      <c r="AA21" s="64"/>
      <c r="AB21" s="64"/>
      <c r="AC21" s="64"/>
      <c r="AD21" s="64"/>
      <c r="AE21" s="64"/>
      <c r="AF21" s="64"/>
      <c r="AG21" s="64"/>
      <c r="AH21" s="64"/>
      <c r="AI21" s="64"/>
      <c r="AJ21" s="64"/>
      <c r="AK21" s="64"/>
    </row>
    <row r="22" spans="1:37">
      <c r="A22" s="108">
        <f t="shared" si="2"/>
        <v>2034</v>
      </c>
      <c r="B22" s="149">
        <f>INDEX('Economic Assumptions'!$B$12:$CC$85,$L22,$B$4+B$6)+'Economic Assumptions'!B$9*'Selected Economics'!$P22</f>
        <v>86.319233469849863</v>
      </c>
      <c r="C22" s="149">
        <f>INDEX('Economic Assumptions'!$B$12:$CC$85,$L22,$B$4+C$6)+'Economic Assumptions'!C$9*'Selected Economics'!$P22</f>
        <v>107.89904183731232</v>
      </c>
      <c r="D22" s="149">
        <f>INDEX('Economic Assumptions'!$B$12:$CC$85,$L22,$B$4+D$6)+'Economic Assumptions'!D$9*'Selected Economics'!$P22</f>
        <v>3.3983640973385585</v>
      </c>
      <c r="E22" s="213">
        <f>INDEX('Economic Assumptions'!$B$12:$CC$85,$L22,$B$4+E$6)</f>
        <v>0.73</v>
      </c>
      <c r="F22" s="197">
        <f>INDEX('Economic Assumptions'!$B$12:$CC$85,$L22,$B$4+F$6)</f>
        <v>0.03</v>
      </c>
      <c r="G22" s="197">
        <f>INDEX('Economic Assumptions'!$B$12:$CC$85,$L22,$B$4+G$6)</f>
        <v>2.5000000000000001E-2</v>
      </c>
      <c r="H22" s="419">
        <f>IF($D$4=1,INDEX('Economic Assumptions'!$B$12:$CC$85,$L22,$B$4+H$6)/H$9,1)</f>
        <v>1</v>
      </c>
      <c r="I22" s="64"/>
      <c r="J22" s="214">
        <f t="shared" si="1"/>
        <v>1.3842338707244459</v>
      </c>
      <c r="K22" s="64"/>
      <c r="L22" s="108">
        <f t="shared" si="3"/>
        <v>15</v>
      </c>
      <c r="M22" s="64"/>
      <c r="N22" s="108">
        <f>'Economic Assumptions'!A23</f>
        <v>2031</v>
      </c>
      <c r="O22" s="108">
        <f>(1+INDEX('Economic Assumptions'!$B$12:$CC$85,L22,$B$4+F$6))*O21</f>
        <v>1.4911618433711298</v>
      </c>
      <c r="P22" s="472">
        <f>IF(N22&lt;=$B$5,1,(1+INDEX('Economic Assumptions'!$B$12:$CC$85,L22,$B$4+F$6))*P21)</f>
        <v>1.2667700813876164</v>
      </c>
      <c r="Q22" s="64"/>
      <c r="R22" s="64"/>
      <c r="S22" s="64"/>
      <c r="T22" s="64"/>
      <c r="U22" s="64"/>
      <c r="V22" s="64"/>
      <c r="W22" s="64"/>
      <c r="X22" s="64"/>
      <c r="Y22" s="64"/>
      <c r="Z22" s="64"/>
      <c r="AA22" s="64"/>
      <c r="AB22" s="64"/>
      <c r="AC22" s="64"/>
      <c r="AD22" s="64"/>
      <c r="AE22" s="64"/>
      <c r="AF22" s="64"/>
      <c r="AG22" s="64"/>
      <c r="AH22" s="64"/>
      <c r="AI22" s="64"/>
      <c r="AJ22" s="64"/>
      <c r="AK22" s="64"/>
    </row>
    <row r="23" spans="1:37">
      <c r="A23" s="108">
        <f t="shared" si="2"/>
        <v>2035</v>
      </c>
      <c r="B23" s="149">
        <f>INDEX('Economic Assumptions'!$B$12:$CC$85,$L23,$B$4+B$6)+'Economic Assumptions'!B$9*'Selected Economics'!$P23</f>
        <v>88.908810473945366</v>
      </c>
      <c r="C23" s="149">
        <f>INDEX('Economic Assumptions'!$B$12:$CC$85,$L23,$B$4+C$6)+'Economic Assumptions'!C$9*'Selected Economics'!$P23</f>
        <v>111.13601309243171</v>
      </c>
      <c r="D23" s="149">
        <f>INDEX('Economic Assumptions'!$B$12:$CC$85,$L23,$B$4+D$6)+'Economic Assumptions'!D$9*'Selected Economics'!$P23</f>
        <v>3.5003150202587148</v>
      </c>
      <c r="E23" s="213">
        <f>INDEX('Economic Assumptions'!$B$12:$CC$85,$L23,$B$4+E$6)</f>
        <v>0.73</v>
      </c>
      <c r="F23" s="197">
        <f>INDEX('Economic Assumptions'!$B$12:$CC$85,$L23,$B$4+F$6)</f>
        <v>0.03</v>
      </c>
      <c r="G23" s="197">
        <f>INDEX('Economic Assumptions'!$B$12:$CC$85,$L23,$B$4+G$6)</f>
        <v>2.5000000000000001E-2</v>
      </c>
      <c r="H23" s="419">
        <f>IF($D$4=1,INDEX('Economic Assumptions'!$B$12:$CC$85,$L23,$B$4+H$6)/H$9,1)</f>
        <v>1</v>
      </c>
      <c r="I23" s="64"/>
      <c r="J23" s="214">
        <f t="shared" si="1"/>
        <v>1.4257608868461793</v>
      </c>
      <c r="K23" s="64"/>
      <c r="L23" s="108">
        <f t="shared" si="3"/>
        <v>16</v>
      </c>
      <c r="M23" s="64"/>
      <c r="N23" s="108">
        <f>'Economic Assumptions'!A24</f>
        <v>2032</v>
      </c>
      <c r="O23" s="108">
        <f>(1+INDEX('Economic Assumptions'!$B$12:$CC$85,L23,$B$4+F$6))*O22</f>
        <v>1.5358966986722637</v>
      </c>
      <c r="P23" s="472">
        <f>IF(N23&lt;=$B$5,1,(1+INDEX('Economic Assumptions'!$B$12:$CC$85,L23,$B$4+F$6))*P22)</f>
        <v>1.3047731838292449</v>
      </c>
      <c r="Q23" s="64"/>
      <c r="R23" s="64"/>
      <c r="S23" s="64"/>
      <c r="T23" s="64"/>
      <c r="U23" s="64"/>
      <c r="V23" s="64"/>
      <c r="W23" s="64"/>
      <c r="X23" s="64"/>
      <c r="Y23" s="64"/>
      <c r="Z23" s="64"/>
      <c r="AA23" s="64"/>
      <c r="AB23" s="64"/>
      <c r="AC23" s="64"/>
      <c r="AD23" s="64"/>
      <c r="AE23" s="64"/>
      <c r="AF23" s="64"/>
      <c r="AG23" s="64"/>
      <c r="AH23" s="64"/>
      <c r="AI23" s="64"/>
      <c r="AJ23" s="64"/>
      <c r="AK23" s="64"/>
    </row>
    <row r="24" spans="1:37">
      <c r="A24" s="108">
        <f t="shared" si="2"/>
        <v>2036</v>
      </c>
      <c r="B24" s="149">
        <f>INDEX('Economic Assumptions'!$B$12:$CC$85,$L24,$B$4+B$6)+'Economic Assumptions'!B$9*'Selected Economics'!$P24</f>
        <v>91.576074788163737</v>
      </c>
      <c r="C24" s="149">
        <f>INDEX('Economic Assumptions'!$B$12:$CC$85,$L24,$B$4+C$6)+'Economic Assumptions'!C$9*'Selected Economics'!$P24</f>
        <v>114.47009348520466</v>
      </c>
      <c r="D24" s="149">
        <f>INDEX('Economic Assumptions'!$B$12:$CC$85,$L24,$B$4+D$6)+'Economic Assumptions'!D$9*'Selected Economics'!$P24</f>
        <v>3.605324470866476</v>
      </c>
      <c r="E24" s="213">
        <f>INDEX('Economic Assumptions'!$B$12:$CC$85,$L24,$B$4+E$6)</f>
        <v>0.73</v>
      </c>
      <c r="F24" s="197">
        <f>INDEX('Economic Assumptions'!$B$12:$CC$85,$L24,$B$4+F$6)</f>
        <v>0.03</v>
      </c>
      <c r="G24" s="197">
        <f>INDEX('Economic Assumptions'!$B$12:$CC$85,$L24,$B$4+G$6)</f>
        <v>2.5000000000000001E-2</v>
      </c>
      <c r="H24" s="419">
        <f>IF($D$4=1,INDEX('Economic Assumptions'!$B$12:$CC$85,$L24,$B$4+H$6)/H$9,1)</f>
        <v>1</v>
      </c>
      <c r="I24" s="64"/>
      <c r="J24" s="214">
        <f t="shared" si="1"/>
        <v>1.4685337134515648</v>
      </c>
      <c r="K24" s="64"/>
      <c r="L24" s="108">
        <f t="shared" si="3"/>
        <v>17</v>
      </c>
      <c r="M24" s="64"/>
      <c r="N24" s="108">
        <f>'Economic Assumptions'!A25</f>
        <v>2033</v>
      </c>
      <c r="O24" s="108">
        <f>(1+INDEX('Economic Assumptions'!$B$12:$CC$85,L24,$B$4+F$6))*O23</f>
        <v>1.5819735996324318</v>
      </c>
      <c r="P24" s="472">
        <f>IF(N24&lt;=$B$5,1,(1+INDEX('Economic Assumptions'!$B$12:$CC$85,L24,$B$4+F$6))*P23)</f>
        <v>1.3439163793441222</v>
      </c>
      <c r="Q24" s="64"/>
      <c r="R24" s="64"/>
      <c r="S24" s="64"/>
      <c r="T24" s="64"/>
      <c r="U24" s="64"/>
      <c r="V24" s="64"/>
      <c r="W24" s="64"/>
      <c r="X24" s="64"/>
      <c r="Y24" s="64"/>
      <c r="Z24" s="64"/>
      <c r="AA24" s="64"/>
      <c r="AB24" s="64"/>
      <c r="AC24" s="64"/>
      <c r="AD24" s="64"/>
      <c r="AE24" s="64"/>
      <c r="AF24" s="64"/>
      <c r="AG24" s="64"/>
      <c r="AH24" s="64"/>
      <c r="AI24" s="64"/>
      <c r="AJ24" s="64"/>
      <c r="AK24" s="64"/>
    </row>
    <row r="25" spans="1:37">
      <c r="A25" s="108">
        <f t="shared" si="2"/>
        <v>2037</v>
      </c>
      <c r="B25" s="149">
        <f>INDEX('Economic Assumptions'!$B$12:$CC$85,$L25,$B$4+B$6)+'Economic Assumptions'!B$9*'Selected Economics'!$P25</f>
        <v>94.323357031808641</v>
      </c>
      <c r="C25" s="149">
        <f>INDEX('Economic Assumptions'!$B$12:$CC$85,$L25,$B$4+C$6)+'Economic Assumptions'!C$9*'Selected Economics'!$P25</f>
        <v>117.9041962897608</v>
      </c>
      <c r="D25" s="149">
        <f>INDEX('Economic Assumptions'!$B$12:$CC$85,$L25,$B$4+D$6)+'Economic Assumptions'!D$9*'Selected Economics'!$P25</f>
        <v>3.7134842049924703</v>
      </c>
      <c r="E25" s="213">
        <f>INDEX('Economic Assumptions'!$B$12:$CC$85,$L25,$B$4+E$6)</f>
        <v>0.73</v>
      </c>
      <c r="F25" s="197">
        <f>INDEX('Economic Assumptions'!$B$12:$CC$85,$L25,$B$4+F$6)</f>
        <v>0.03</v>
      </c>
      <c r="G25" s="197">
        <f>INDEX('Economic Assumptions'!$B$12:$CC$85,$L25,$B$4+G$6)</f>
        <v>2.5000000000000001E-2</v>
      </c>
      <c r="H25" s="419">
        <f>IF($D$4=1,INDEX('Economic Assumptions'!$B$12:$CC$85,$L25,$B$4+H$6)/H$9,1)</f>
        <v>1</v>
      </c>
      <c r="I25" s="64"/>
      <c r="J25" s="214">
        <f t="shared" si="1"/>
        <v>1.5125897248551119</v>
      </c>
      <c r="K25" s="64"/>
      <c r="L25" s="108">
        <f t="shared" si="3"/>
        <v>18</v>
      </c>
      <c r="M25" s="64"/>
      <c r="N25" s="108">
        <f>'Economic Assumptions'!A26</f>
        <v>2034</v>
      </c>
      <c r="O25" s="108">
        <f>(1+INDEX('Economic Assumptions'!$B$12:$CC$85,L25,$B$4+F$6))*O24</f>
        <v>1.6294328076214049</v>
      </c>
      <c r="P25" s="472">
        <f>IF(N25&lt;=$B$5,1,(1+INDEX('Economic Assumptions'!$B$12:$CC$85,L25,$B$4+F$6))*P24)</f>
        <v>1.3842338707244459</v>
      </c>
      <c r="Q25" s="64"/>
      <c r="R25" s="64"/>
      <c r="S25" s="64"/>
      <c r="T25" s="64"/>
      <c r="U25" s="64"/>
      <c r="V25" s="64"/>
      <c r="W25" s="64"/>
      <c r="X25" s="64"/>
      <c r="Y25" s="64"/>
      <c r="Z25" s="64"/>
      <c r="AA25" s="64"/>
      <c r="AB25" s="64"/>
      <c r="AC25" s="64"/>
      <c r="AD25" s="64"/>
      <c r="AE25" s="64"/>
      <c r="AF25" s="64"/>
      <c r="AG25" s="64"/>
      <c r="AH25" s="64"/>
      <c r="AI25" s="64"/>
      <c r="AJ25" s="64"/>
      <c r="AK25" s="64"/>
    </row>
    <row r="26" spans="1:37">
      <c r="A26" s="108">
        <f t="shared" si="2"/>
        <v>2038</v>
      </c>
      <c r="B26" s="149">
        <f>INDEX('Economic Assumptions'!$B$12:$CC$85,$L26,$B$4+B$6)+'Economic Assumptions'!B$9*'Selected Economics'!$P26</f>
        <v>97.153057742762911</v>
      </c>
      <c r="C26" s="149">
        <f>INDEX('Economic Assumptions'!$B$12:$CC$85,$L26,$B$4+C$6)+'Economic Assumptions'!C$9*'Selected Economics'!$P26</f>
        <v>121.44132217845363</v>
      </c>
      <c r="D26" s="149">
        <f>INDEX('Economic Assumptions'!$B$12:$CC$85,$L26,$B$4+D$6)+'Economic Assumptions'!D$9*'Selected Economics'!$P26</f>
        <v>3.8248887311422441</v>
      </c>
      <c r="E26" s="213">
        <f>INDEX('Economic Assumptions'!$B$12:$CC$85,$L26,$B$4+E$6)</f>
        <v>0.73</v>
      </c>
      <c r="F26" s="197">
        <f>INDEX('Economic Assumptions'!$B$12:$CC$85,$L26,$B$4+F$6)</f>
        <v>0.03</v>
      </c>
      <c r="G26" s="197">
        <f>INDEX('Economic Assumptions'!$B$12:$CC$85,$L26,$B$4+G$6)</f>
        <v>2.5000000000000001E-2</v>
      </c>
      <c r="H26" s="419">
        <f>IF($D$4=1,INDEX('Economic Assumptions'!$B$12:$CC$85,$L26,$B$4+H$6)/H$9,1)</f>
        <v>1</v>
      </c>
      <c r="I26" s="64"/>
      <c r="J26" s="214">
        <f t="shared" si="1"/>
        <v>1.5579674166007653</v>
      </c>
      <c r="K26" s="64"/>
      <c r="L26" s="108">
        <f t="shared" si="3"/>
        <v>19</v>
      </c>
      <c r="M26" s="64"/>
      <c r="N26" s="108">
        <f>'Economic Assumptions'!A27</f>
        <v>2035</v>
      </c>
      <c r="O26" s="108">
        <f>(1+INDEX('Economic Assumptions'!$B$12:$CC$85,L26,$B$4+F$6))*O25</f>
        <v>1.6783157918500471</v>
      </c>
      <c r="P26" s="472">
        <f>IF(N26&lt;=$B$5,1,(1+INDEX('Economic Assumptions'!$B$12:$CC$85,L26,$B$4+F$6))*P25)</f>
        <v>1.4257608868461793</v>
      </c>
      <c r="Q26" s="64"/>
      <c r="R26" s="64"/>
      <c r="S26" s="64"/>
      <c r="T26" s="64"/>
      <c r="U26" s="64"/>
      <c r="V26" s="64"/>
      <c r="W26" s="64"/>
      <c r="X26" s="64"/>
      <c r="Y26" s="64"/>
      <c r="Z26" s="64"/>
      <c r="AA26" s="64"/>
      <c r="AB26" s="64"/>
      <c r="AC26" s="64"/>
      <c r="AD26" s="64"/>
      <c r="AE26" s="64"/>
      <c r="AF26" s="64"/>
      <c r="AG26" s="64"/>
      <c r="AH26" s="64"/>
      <c r="AI26" s="64"/>
      <c r="AJ26" s="64"/>
      <c r="AK26" s="64"/>
    </row>
    <row r="27" spans="1:37">
      <c r="A27" s="108">
        <f t="shared" si="2"/>
        <v>2039</v>
      </c>
      <c r="B27" s="149">
        <f>INDEX('Economic Assumptions'!$B$12:$CC$85,$L27,$B$4+B$6)+'Economic Assumptions'!B$9*'Selected Economics'!$P27</f>
        <v>100.06764947504581</v>
      </c>
      <c r="C27" s="149">
        <f>INDEX('Economic Assumptions'!$B$12:$CC$85,$L27,$B$4+C$6)+'Economic Assumptions'!C$9*'Selected Economics'!$P27</f>
        <v>125.08456184380725</v>
      </c>
      <c r="D27" s="149">
        <f>INDEX('Economic Assumptions'!$B$12:$CC$85,$L27,$B$4+D$6)+'Economic Assumptions'!D$9*'Selected Economics'!$P27</f>
        <v>3.9396353930765109</v>
      </c>
      <c r="E27" s="213">
        <f>INDEX('Economic Assumptions'!$B$12:$CC$85,$L27,$B$4+E$6)</f>
        <v>0.73</v>
      </c>
      <c r="F27" s="197">
        <f>INDEX('Economic Assumptions'!$B$12:$CC$85,$L27,$B$4+F$6)</f>
        <v>0.03</v>
      </c>
      <c r="G27" s="197">
        <f>INDEX('Economic Assumptions'!$B$12:$CC$85,$L27,$B$4+G$6)</f>
        <v>2.5000000000000001E-2</v>
      </c>
      <c r="H27" s="419">
        <f>IF($D$4=1,INDEX('Economic Assumptions'!$B$12:$CC$85,$L27,$B$4+H$6)/H$9,1)</f>
        <v>1</v>
      </c>
      <c r="I27" s="64"/>
      <c r="J27" s="214">
        <f t="shared" si="1"/>
        <v>1.6047064390987884</v>
      </c>
      <c r="K27" s="64"/>
      <c r="L27" s="108">
        <f t="shared" si="3"/>
        <v>20</v>
      </c>
      <c r="M27" s="64"/>
      <c r="N27" s="108">
        <f>'Economic Assumptions'!A28</f>
        <v>2036</v>
      </c>
      <c r="O27" s="108">
        <f>(1+INDEX('Economic Assumptions'!$B$12:$CC$85,L27,$B$4+F$6))*O26</f>
        <v>1.7286652656055486</v>
      </c>
      <c r="P27" s="472">
        <f>IF(N27&lt;=$B$5,1,(1+INDEX('Economic Assumptions'!$B$12:$CC$85,L27,$B$4+F$6))*P26)</f>
        <v>1.4685337134515648</v>
      </c>
      <c r="Q27" s="64"/>
      <c r="R27" s="64"/>
      <c r="S27" s="64"/>
      <c r="T27" s="64"/>
      <c r="U27" s="64"/>
      <c r="V27" s="64"/>
      <c r="W27" s="64"/>
      <c r="X27" s="64"/>
      <c r="Y27" s="64"/>
      <c r="Z27" s="64"/>
      <c r="AA27" s="64"/>
      <c r="AB27" s="64"/>
      <c r="AC27" s="64"/>
      <c r="AD27" s="64"/>
      <c r="AE27" s="64"/>
      <c r="AF27" s="64"/>
      <c r="AG27" s="64"/>
      <c r="AH27" s="64"/>
      <c r="AI27" s="64"/>
      <c r="AJ27" s="64"/>
      <c r="AK27" s="64"/>
    </row>
    <row r="28" spans="1:37">
      <c r="A28" s="108">
        <f t="shared" si="2"/>
        <v>2040</v>
      </c>
      <c r="B28" s="149">
        <f>INDEX('Economic Assumptions'!$B$12:$CC$85,$L28,$B$4+B$6)+'Economic Assumptions'!B$9*'Selected Economics'!$P28</f>
        <v>103.06967895929718</v>
      </c>
      <c r="C28" s="149">
        <f>INDEX('Economic Assumptions'!$B$12:$CC$85,$L28,$B$4+C$6)+'Economic Assumptions'!C$9*'Selected Economics'!$P28</f>
        <v>128.83709869912147</v>
      </c>
      <c r="D28" s="149">
        <f>INDEX('Economic Assumptions'!$B$12:$CC$85,$L28,$B$4+D$6)+'Economic Assumptions'!D$9*'Selected Economics'!$P28</f>
        <v>4.0578244548688067</v>
      </c>
      <c r="E28" s="213">
        <f>INDEX('Economic Assumptions'!$B$12:$CC$85,$L28,$B$4+E$6)</f>
        <v>0.73</v>
      </c>
      <c r="F28" s="197">
        <f>INDEX('Economic Assumptions'!$B$12:$CC$85,$L28,$B$4+F$6)</f>
        <v>0.03</v>
      </c>
      <c r="G28" s="197">
        <f>INDEX('Economic Assumptions'!$B$12:$CC$85,$L28,$B$4+G$6)</f>
        <v>2.5000000000000001E-2</v>
      </c>
      <c r="H28" s="419">
        <f>IF($D$4=1,INDEX('Economic Assumptions'!$B$12:$CC$85,$L28,$B$4+H$6)/H$9,1)</f>
        <v>1</v>
      </c>
      <c r="I28" s="64"/>
      <c r="J28" s="214">
        <f t="shared" si="1"/>
        <v>1.652847632271752</v>
      </c>
      <c r="K28" s="64"/>
      <c r="L28" s="108">
        <f t="shared" si="3"/>
        <v>21</v>
      </c>
      <c r="M28" s="64"/>
      <c r="N28" s="108">
        <f>'Economic Assumptions'!A29</f>
        <v>2037</v>
      </c>
      <c r="O28" s="108">
        <f>(1+INDEX('Economic Assumptions'!$B$12:$CC$85,L28,$B$4+F$6))*O27</f>
        <v>1.780525223573715</v>
      </c>
      <c r="P28" s="472">
        <f>IF(N28&lt;=$B$5,1,(1+INDEX('Economic Assumptions'!$B$12:$CC$85,L28,$B$4+F$6))*P27)</f>
        <v>1.5125897248551119</v>
      </c>
      <c r="Q28" s="64"/>
      <c r="R28" s="64"/>
      <c r="S28" s="64"/>
      <c r="T28" s="64"/>
      <c r="U28" s="64"/>
      <c r="V28" s="64"/>
      <c r="W28" s="64"/>
      <c r="X28" s="64"/>
      <c r="Y28" s="64"/>
      <c r="Z28" s="64"/>
      <c r="AA28" s="64"/>
      <c r="AB28" s="64"/>
      <c r="AC28" s="64"/>
      <c r="AD28" s="64"/>
      <c r="AE28" s="64"/>
      <c r="AF28" s="64"/>
      <c r="AG28" s="64"/>
      <c r="AH28" s="64"/>
      <c r="AI28" s="64"/>
      <c r="AJ28" s="64"/>
      <c r="AK28" s="64"/>
    </row>
    <row r="29" spans="1:37">
      <c r="A29" s="108">
        <f t="shared" si="2"/>
        <v>2041</v>
      </c>
      <c r="B29" s="149">
        <f>INDEX('Economic Assumptions'!$B$12:$CC$85,$L29,$B$4+B$6)+'Economic Assumptions'!B$9*'Selected Economics'!$P29</f>
        <v>106.16176932807609</v>
      </c>
      <c r="C29" s="149">
        <f>INDEX('Economic Assumptions'!$B$12:$CC$85,$L29,$B$4+C$6)+'Economic Assumptions'!C$9*'Selected Economics'!$P29</f>
        <v>132.70221166009512</v>
      </c>
      <c r="D29" s="149">
        <f>INDEX('Economic Assumptions'!$B$12:$CC$85,$L29,$B$4+D$6)+'Economic Assumptions'!D$9*'Selected Economics'!$P29</f>
        <v>4.1795591885148706</v>
      </c>
      <c r="E29" s="213">
        <f>INDEX('Economic Assumptions'!$B$12:$CC$85,$L29,$B$4+E$6)</f>
        <v>0.73</v>
      </c>
      <c r="F29" s="197">
        <f>INDEX('Economic Assumptions'!$B$12:$CC$85,$L29,$B$4+F$6)</f>
        <v>0.03</v>
      </c>
      <c r="G29" s="197">
        <f>INDEX('Economic Assumptions'!$B$12:$CC$85,$L29,$B$4+G$6)</f>
        <v>2.5000000000000001E-2</v>
      </c>
      <c r="H29" s="419">
        <f>IF($D$4=1,INDEX('Economic Assumptions'!$B$12:$CC$85,$L29,$B$4+H$6)/H$9,1)</f>
        <v>1</v>
      </c>
      <c r="I29" s="64"/>
      <c r="J29" s="214">
        <f t="shared" si="1"/>
        <v>1.7024330612399046</v>
      </c>
      <c r="K29" s="64"/>
      <c r="L29" s="108">
        <f t="shared" si="3"/>
        <v>22</v>
      </c>
      <c r="M29" s="64"/>
      <c r="N29" s="108">
        <f>'Economic Assumptions'!A30</f>
        <v>2038</v>
      </c>
      <c r="O29" s="108">
        <f>(1+INDEX('Economic Assumptions'!$B$12:$CC$85,L29,$B$4+F$6))*O28</f>
        <v>1.8339409802809266</v>
      </c>
      <c r="P29" s="472">
        <f>IF(N29&lt;=$B$5,1,(1+INDEX('Economic Assumptions'!$B$12:$CC$85,L29,$B$4+F$6))*P28)</f>
        <v>1.5579674166007653</v>
      </c>
      <c r="Q29" s="64"/>
      <c r="R29" s="64"/>
      <c r="S29" s="64"/>
      <c r="T29" s="64"/>
      <c r="U29" s="64"/>
      <c r="V29" s="64"/>
      <c r="W29" s="64"/>
      <c r="X29" s="64"/>
      <c r="Y29" s="64"/>
      <c r="Z29" s="64"/>
      <c r="AA29" s="64"/>
      <c r="AB29" s="64"/>
      <c r="AC29" s="64"/>
      <c r="AD29" s="64"/>
      <c r="AE29" s="64"/>
      <c r="AF29" s="64"/>
      <c r="AG29" s="64"/>
      <c r="AH29" s="64"/>
      <c r="AI29" s="64"/>
      <c r="AJ29" s="64"/>
      <c r="AK29" s="64"/>
    </row>
    <row r="30" spans="1:37">
      <c r="A30" s="108">
        <f t="shared" si="2"/>
        <v>2042</v>
      </c>
      <c r="B30" s="149">
        <f>INDEX('Economic Assumptions'!$B$12:$CC$85,$L30,$B$4+B$6)+'Economic Assumptions'!B$9*'Selected Economics'!$P30</f>
        <v>109.34662240791839</v>
      </c>
      <c r="C30" s="149">
        <f>INDEX('Economic Assumptions'!$B$12:$CC$85,$L30,$B$4+C$6)+'Economic Assumptions'!C$9*'Selected Economics'!$P30</f>
        <v>136.68327800989798</v>
      </c>
      <c r="D30" s="149">
        <f>INDEX('Economic Assumptions'!$B$12:$CC$85,$L30,$B$4+D$6)+'Economic Assumptions'!D$9*'Selected Economics'!$P30</f>
        <v>4.3049459641703178</v>
      </c>
      <c r="E30" s="213">
        <f>INDEX('Economic Assumptions'!$B$12:$CC$85,$L30,$B$4+E$6)</f>
        <v>0.73</v>
      </c>
      <c r="F30" s="197">
        <f>INDEX('Economic Assumptions'!$B$12:$CC$85,$L30,$B$4+F$6)</f>
        <v>0.03</v>
      </c>
      <c r="G30" s="197">
        <f>INDEX('Economic Assumptions'!$B$12:$CC$85,$L30,$B$4+G$6)</f>
        <v>2.5000000000000001E-2</v>
      </c>
      <c r="H30" s="419">
        <f>IF($D$4=1,INDEX('Economic Assumptions'!$B$12:$CC$85,$L30,$B$4+H$6)/H$9,1)</f>
        <v>1</v>
      </c>
      <c r="I30" s="64"/>
      <c r="J30" s="214">
        <f t="shared" si="1"/>
        <v>1.7535060530771018</v>
      </c>
      <c r="K30" s="64"/>
      <c r="L30" s="108">
        <f t="shared" si="3"/>
        <v>23</v>
      </c>
      <c r="M30" s="64"/>
      <c r="N30" s="108">
        <f>'Economic Assumptions'!A31</f>
        <v>2039</v>
      </c>
      <c r="O30" s="108">
        <f>(1+INDEX('Economic Assumptions'!$B$12:$CC$85,L30,$B$4+F$6))*O29</f>
        <v>1.8889592096893544</v>
      </c>
      <c r="P30" s="472">
        <f>IF(N30&lt;=$B$5,1,(1+INDEX('Economic Assumptions'!$B$12:$CC$85,L30,$B$4+F$6))*P29)</f>
        <v>1.6047064390987884</v>
      </c>
      <c r="Q30" s="64"/>
      <c r="R30" s="64"/>
      <c r="S30" s="64"/>
      <c r="T30" s="64"/>
      <c r="U30" s="64"/>
      <c r="V30" s="64"/>
      <c r="W30" s="64"/>
      <c r="X30" s="64"/>
      <c r="Y30" s="64"/>
      <c r="Z30" s="64"/>
      <c r="AA30" s="64"/>
      <c r="AB30" s="64"/>
      <c r="AC30" s="64"/>
      <c r="AD30" s="64"/>
      <c r="AE30" s="64"/>
      <c r="AF30" s="64"/>
      <c r="AG30" s="64"/>
      <c r="AH30" s="64"/>
      <c r="AI30" s="64"/>
      <c r="AJ30" s="64"/>
      <c r="AK30" s="64"/>
    </row>
    <row r="31" spans="1:37">
      <c r="A31" s="108">
        <f t="shared" si="2"/>
        <v>2043</v>
      </c>
      <c r="B31" s="149">
        <f>INDEX('Economic Assumptions'!$B$12:$CC$85,$L31,$B$4+B$6)+'Economic Assumptions'!B$9*'Selected Economics'!$P31</f>
        <v>112.62702108015594</v>
      </c>
      <c r="C31" s="149">
        <f>INDEX('Economic Assumptions'!$B$12:$CC$85,$L31,$B$4+C$6)+'Economic Assumptions'!C$9*'Selected Economics'!$P31</f>
        <v>140.78377635019493</v>
      </c>
      <c r="D31" s="149">
        <f>INDEX('Economic Assumptions'!$B$12:$CC$85,$L31,$B$4+D$6)+'Economic Assumptions'!D$9*'Selected Economics'!$P31</f>
        <v>4.4340943430954267</v>
      </c>
      <c r="E31" s="213">
        <f>INDEX('Economic Assumptions'!$B$12:$CC$85,$L31,$B$4+E$6)</f>
        <v>0.73</v>
      </c>
      <c r="F31" s="197">
        <f>INDEX('Economic Assumptions'!$B$12:$CC$85,$L31,$B$4+F$6)</f>
        <v>0.03</v>
      </c>
      <c r="G31" s="197">
        <f>INDEX('Economic Assumptions'!$B$12:$CC$85,$L31,$B$4+G$6)</f>
        <v>2.5000000000000001E-2</v>
      </c>
      <c r="H31" s="419">
        <f>IF($D$4=1,INDEX('Economic Assumptions'!$B$12:$CC$85,$L31,$B$4+H$6)/H$9,1)</f>
        <v>1</v>
      </c>
      <c r="I31" s="64"/>
      <c r="J31" s="214">
        <f t="shared" si="1"/>
        <v>1.806111234669415</v>
      </c>
      <c r="K31" s="64"/>
      <c r="L31" s="108">
        <f t="shared" si="3"/>
        <v>24</v>
      </c>
      <c r="M31" s="64"/>
      <c r="N31" s="108">
        <f>'Economic Assumptions'!A32</f>
        <v>2040</v>
      </c>
      <c r="O31" s="108">
        <f>(1+INDEX('Economic Assumptions'!$B$12:$CC$85,L31,$B$4+F$6))*O30</f>
        <v>1.9456279859800352</v>
      </c>
      <c r="P31" s="472">
        <f>IF(N31&lt;=$B$5,1,(1+INDEX('Economic Assumptions'!$B$12:$CC$85,L31,$B$4+F$6))*P30)</f>
        <v>1.652847632271752</v>
      </c>
      <c r="Q31" s="64"/>
      <c r="R31" s="64"/>
      <c r="S31" s="64"/>
      <c r="T31" s="64"/>
      <c r="U31" s="64"/>
      <c r="V31" s="64"/>
      <c r="W31" s="64"/>
      <c r="X31" s="64"/>
      <c r="Y31" s="64"/>
      <c r="Z31" s="64"/>
      <c r="AA31" s="64"/>
      <c r="AB31" s="64"/>
      <c r="AC31" s="64"/>
      <c r="AD31" s="64"/>
      <c r="AE31" s="64"/>
      <c r="AF31" s="64"/>
      <c r="AG31" s="64"/>
      <c r="AH31" s="64"/>
      <c r="AI31" s="64"/>
      <c r="AJ31" s="64"/>
      <c r="AK31" s="64"/>
    </row>
    <row r="32" spans="1:37">
      <c r="A32" s="108">
        <f t="shared" si="2"/>
        <v>2044</v>
      </c>
      <c r="B32" s="149">
        <f>INDEX('Economic Assumptions'!$B$12:$CC$85,$L32,$B$4+B$6)+'Economic Assumptions'!B$9*'Selected Economics'!$P32</f>
        <v>116.00583171256061</v>
      </c>
      <c r="C32" s="149">
        <f>INDEX('Economic Assumptions'!$B$12:$CC$85,$L32,$B$4+C$6)+'Economic Assumptions'!C$9*'Selected Economics'!$P32</f>
        <v>145.00728964070075</v>
      </c>
      <c r="D32" s="149">
        <f>INDEX('Economic Assumptions'!$B$12:$CC$85,$L32,$B$4+D$6)+'Economic Assumptions'!D$9*'Selected Economics'!$P32</f>
        <v>4.56711717338829</v>
      </c>
      <c r="E32" s="213">
        <f>INDEX('Economic Assumptions'!$B$12:$CC$85,$L32,$B$4+E$6)</f>
        <v>0.73</v>
      </c>
      <c r="F32" s="197">
        <f>INDEX('Economic Assumptions'!$B$12:$CC$85,$L32,$B$4+F$6)</f>
        <v>0.03</v>
      </c>
      <c r="G32" s="197">
        <f>INDEX('Economic Assumptions'!$B$12:$CC$85,$L32,$B$4+G$6)</f>
        <v>2.5000000000000001E-2</v>
      </c>
      <c r="H32" s="419">
        <f>IF($D$4=1,INDEX('Economic Assumptions'!$B$12:$CC$85,$L32,$B$4+H$6)/H$9,1)</f>
        <v>1</v>
      </c>
      <c r="I32" s="64"/>
      <c r="J32" s="214">
        <f t="shared" si="1"/>
        <v>1.8602945717094976</v>
      </c>
      <c r="K32" s="64"/>
      <c r="L32" s="108">
        <f t="shared" si="3"/>
        <v>25</v>
      </c>
      <c r="M32" s="64"/>
      <c r="N32" s="108">
        <f>'Economic Assumptions'!A33</f>
        <v>2041</v>
      </c>
      <c r="O32" s="108">
        <f>(1+INDEX('Economic Assumptions'!$B$12:$CC$85,L32,$B$4+F$6))*O31</f>
        <v>2.0039968255594363</v>
      </c>
      <c r="P32" s="472">
        <f>IF(N32&lt;=$B$5,1,(1+INDEX('Economic Assumptions'!$B$12:$CC$85,L32,$B$4+F$6))*P31)</f>
        <v>1.7024330612399046</v>
      </c>
      <c r="Q32" s="64"/>
      <c r="R32" s="64"/>
      <c r="S32" s="64"/>
      <c r="T32" s="64"/>
      <c r="U32" s="64"/>
      <c r="V32" s="64"/>
      <c r="W32" s="64"/>
      <c r="X32" s="64"/>
      <c r="Y32" s="64"/>
      <c r="Z32" s="64"/>
      <c r="AA32" s="64"/>
      <c r="AB32" s="64"/>
      <c r="AC32" s="64"/>
      <c r="AD32" s="64"/>
      <c r="AE32" s="64"/>
      <c r="AF32" s="64"/>
      <c r="AG32" s="64"/>
      <c r="AH32" s="64"/>
      <c r="AI32" s="64"/>
      <c r="AJ32" s="64"/>
      <c r="AK32" s="64"/>
    </row>
    <row r="33" spans="1:37">
      <c r="A33" s="108">
        <f t="shared" si="2"/>
        <v>2045</v>
      </c>
      <c r="B33" s="149">
        <f>INDEX('Economic Assumptions'!$B$12:$CC$85,$L33,$B$4+B$6)+'Economic Assumptions'!B$9*'Selected Economics'!$P33</f>
        <v>119.48600666393743</v>
      </c>
      <c r="C33" s="149">
        <f>INDEX('Economic Assumptions'!$B$12:$CC$85,$L33,$B$4+C$6)+'Economic Assumptions'!C$9*'Selected Economics'!$P33</f>
        <v>149.35750832992179</v>
      </c>
      <c r="D33" s="149">
        <f>INDEX('Economic Assumptions'!$B$12:$CC$85,$L33,$B$4+D$6)+'Economic Assumptions'!D$9*'Selected Economics'!$P33</f>
        <v>4.704130688589939</v>
      </c>
      <c r="E33" s="213">
        <f>INDEX('Economic Assumptions'!$B$12:$CC$85,$L33,$B$4+E$6)</f>
        <v>0.73</v>
      </c>
      <c r="F33" s="197">
        <f>INDEX('Economic Assumptions'!$B$12:$CC$85,$L33,$B$4+F$6)</f>
        <v>0.03</v>
      </c>
      <c r="G33" s="197">
        <f>INDEX('Economic Assumptions'!$B$12:$CC$85,$L33,$B$4+G$6)</f>
        <v>2.5000000000000001E-2</v>
      </c>
      <c r="H33" s="419">
        <f>IF($D$4=1,INDEX('Economic Assumptions'!$B$12:$CC$85,$L33,$B$4+H$6)/H$9,1)</f>
        <v>1</v>
      </c>
      <c r="I33" s="64"/>
      <c r="J33" s="214">
        <f t="shared" si="1"/>
        <v>1.9161034088607827</v>
      </c>
      <c r="K33" s="64"/>
      <c r="L33" s="108">
        <f t="shared" si="3"/>
        <v>26</v>
      </c>
      <c r="M33" s="64"/>
      <c r="N33" s="108">
        <f>'Economic Assumptions'!A34</f>
        <v>2042</v>
      </c>
      <c r="O33" s="108">
        <f>(1+INDEX('Economic Assumptions'!$B$12:$CC$85,L33,$B$4+F$6))*O32</f>
        <v>2.0641167303262193</v>
      </c>
      <c r="P33" s="472">
        <f>IF(N33&lt;=$B$5,1,(1+INDEX('Economic Assumptions'!$B$12:$CC$85,L33,$B$4+F$6))*P32)</f>
        <v>1.7535060530771018</v>
      </c>
      <c r="Q33" s="64"/>
      <c r="R33" s="64"/>
      <c r="S33" s="64"/>
      <c r="T33" s="64"/>
      <c r="U33" s="64"/>
      <c r="V33" s="64"/>
      <c r="W33" s="64"/>
      <c r="X33" s="64"/>
      <c r="Y33" s="64"/>
      <c r="Z33" s="64"/>
      <c r="AA33" s="64"/>
      <c r="AB33" s="64"/>
      <c r="AC33" s="64"/>
      <c r="AD33" s="64"/>
      <c r="AE33" s="64"/>
      <c r="AF33" s="64"/>
      <c r="AG33" s="64"/>
      <c r="AH33" s="64"/>
      <c r="AI33" s="64"/>
      <c r="AJ33" s="64"/>
      <c r="AK33" s="64"/>
    </row>
    <row r="34" spans="1:37">
      <c r="A34" s="108">
        <f t="shared" si="2"/>
        <v>2046</v>
      </c>
      <c r="B34" s="149">
        <f>INDEX('Economic Assumptions'!$B$12:$CC$85,$L34,$B$4+B$6)+'Economic Assumptions'!B$9*'Selected Economics'!$P34</f>
        <v>123.07058686385557</v>
      </c>
      <c r="C34" s="149">
        <f>INDEX('Economic Assumptions'!$B$12:$CC$85,$L34,$B$4+C$6)+'Economic Assumptions'!C$9*'Selected Economics'!$P34</f>
        <v>153.83823357981947</v>
      </c>
      <c r="D34" s="149">
        <f>INDEX('Economic Assumptions'!$B$12:$CC$85,$L34,$B$4+D$6)+'Economic Assumptions'!D$9*'Selected Economics'!$P34</f>
        <v>4.8452546092476378</v>
      </c>
      <c r="E34" s="213">
        <f>INDEX('Economic Assumptions'!$B$12:$CC$85,$L34,$B$4+E$6)</f>
        <v>0.73</v>
      </c>
      <c r="F34" s="197">
        <f>INDEX('Economic Assumptions'!$B$12:$CC$85,$L34,$B$4+F$6)</f>
        <v>0.03</v>
      </c>
      <c r="G34" s="197">
        <f>INDEX('Economic Assumptions'!$B$12:$CC$85,$L34,$B$4+G$6)</f>
        <v>2.5000000000000001E-2</v>
      </c>
      <c r="H34" s="419">
        <f>IF($D$4=1,INDEX('Economic Assumptions'!$B$12:$CC$85,$L34,$B$4+H$6)/H$9,1)</f>
        <v>1</v>
      </c>
      <c r="I34" s="64"/>
      <c r="J34" s="214">
        <f t="shared" si="1"/>
        <v>1.9735865111266062</v>
      </c>
      <c r="K34" s="64"/>
      <c r="L34" s="108">
        <f t="shared" si="3"/>
        <v>27</v>
      </c>
      <c r="M34" s="64"/>
      <c r="N34" s="108">
        <f>'Economic Assumptions'!A35</f>
        <v>2043</v>
      </c>
      <c r="O34" s="108">
        <f>(1+INDEX('Economic Assumptions'!$B$12:$CC$85,L34,$B$4+F$6))*O33</f>
        <v>2.1260402322360061</v>
      </c>
      <c r="P34" s="472">
        <f>IF(N34&lt;=$B$5,1,(1+INDEX('Economic Assumptions'!$B$12:$CC$85,L34,$B$4+F$6))*P33)</f>
        <v>1.806111234669415</v>
      </c>
      <c r="Q34" s="64"/>
      <c r="R34" s="64"/>
      <c r="S34" s="64"/>
      <c r="T34" s="64"/>
      <c r="U34" s="64"/>
      <c r="V34" s="64"/>
      <c r="W34" s="64"/>
      <c r="X34" s="64"/>
      <c r="Y34" s="64"/>
      <c r="Z34" s="64"/>
      <c r="AA34" s="64"/>
      <c r="AB34" s="64"/>
      <c r="AC34" s="64"/>
      <c r="AD34" s="64"/>
      <c r="AE34" s="64"/>
      <c r="AF34" s="64"/>
      <c r="AG34" s="64"/>
      <c r="AH34" s="64"/>
      <c r="AI34" s="64"/>
      <c r="AJ34" s="64"/>
      <c r="AK34" s="64"/>
    </row>
    <row r="35" spans="1:37">
      <c r="A35" s="108">
        <f t="shared" si="2"/>
        <v>2047</v>
      </c>
      <c r="B35" s="149">
        <f>INDEX('Economic Assumptions'!$B$12:$CC$85,$L35,$B$4+B$6)+'Economic Assumptions'!B$9*'Selected Economics'!$P35</f>
        <v>126.76270446977124</v>
      </c>
      <c r="C35" s="149">
        <f>INDEX('Economic Assumptions'!$B$12:$CC$85,$L35,$B$4+C$6)+'Economic Assumptions'!C$9*'Selected Economics'!$P35</f>
        <v>158.45338058721404</v>
      </c>
      <c r="D35" s="149">
        <f>INDEX('Economic Assumptions'!$B$12:$CC$85,$L35,$B$4+D$6)+'Economic Assumptions'!D$9*'Selected Economics'!$P35</f>
        <v>4.9906122475250667</v>
      </c>
      <c r="E35" s="213">
        <f>INDEX('Economic Assumptions'!$B$12:$CC$85,$L35,$B$4+E$6)</f>
        <v>0.73</v>
      </c>
      <c r="F35" s="197">
        <f>INDEX('Economic Assumptions'!$B$12:$CC$85,$L35,$B$4+F$6)</f>
        <v>0.03</v>
      </c>
      <c r="G35" s="197">
        <f>INDEX('Economic Assumptions'!$B$12:$CC$85,$L35,$B$4+G$6)</f>
        <v>2.5000000000000001E-2</v>
      </c>
      <c r="H35" s="419">
        <f>IF($D$4=1,INDEX('Economic Assumptions'!$B$12:$CC$85,$L35,$B$4+H$6)/H$9,1)</f>
        <v>1</v>
      </c>
      <c r="I35" s="64"/>
      <c r="J35" s="214">
        <f t="shared" si="1"/>
        <v>2.0327941064604045</v>
      </c>
      <c r="K35" s="64"/>
      <c r="L35" s="108">
        <f t="shared" si="3"/>
        <v>28</v>
      </c>
      <c r="M35" s="64"/>
      <c r="N35" s="108">
        <f>'Economic Assumptions'!A36</f>
        <v>2044</v>
      </c>
      <c r="O35" s="108">
        <f>(1+INDEX('Economic Assumptions'!$B$12:$CC$85,L35,$B$4+F$6))*O34</f>
        <v>2.1898214392030866</v>
      </c>
      <c r="P35" s="472">
        <f>IF(N35&lt;=$B$5,1,(1+INDEX('Economic Assumptions'!$B$12:$CC$85,L35,$B$4+F$6))*P34)</f>
        <v>1.8602945717094976</v>
      </c>
      <c r="Q35" s="64"/>
      <c r="R35" s="64"/>
      <c r="S35" s="64"/>
      <c r="T35" s="64"/>
      <c r="U35" s="64"/>
      <c r="V35" s="64"/>
      <c r="W35" s="64"/>
      <c r="X35" s="64"/>
      <c r="Y35" s="64"/>
      <c r="Z35" s="64"/>
      <c r="AA35" s="64"/>
      <c r="AB35" s="64"/>
      <c r="AC35" s="64"/>
      <c r="AD35" s="64"/>
      <c r="AE35" s="64"/>
      <c r="AF35" s="64"/>
      <c r="AG35" s="64"/>
      <c r="AH35" s="64"/>
      <c r="AI35" s="64"/>
      <c r="AJ35" s="64"/>
      <c r="AK35" s="64"/>
    </row>
    <row r="36" spans="1:37">
      <c r="A36" s="108">
        <f t="shared" si="2"/>
        <v>2048</v>
      </c>
      <c r="B36" s="149">
        <f>INDEX('Economic Assumptions'!$B$12:$CC$85,$L36,$B$4+B$6)+'Economic Assumptions'!B$9*'Selected Economics'!$P36</f>
        <v>130.56558560386438</v>
      </c>
      <c r="C36" s="149">
        <f>INDEX('Economic Assumptions'!$B$12:$CC$85,$L36,$B$4+C$6)+'Economic Assumptions'!C$9*'Selected Economics'!$P36</f>
        <v>163.20698200483048</v>
      </c>
      <c r="D36" s="149">
        <f>INDEX('Economic Assumptions'!$B$12:$CC$85,$L36,$B$4+D$6)+'Economic Assumptions'!D$9*'Selected Economics'!$P36</f>
        <v>5.1403306149508188</v>
      </c>
      <c r="E36" s="213">
        <f>INDEX('Economic Assumptions'!$B$12:$CC$85,$L36,$B$4+E$6)</f>
        <v>0.73</v>
      </c>
      <c r="F36" s="197">
        <f>INDEX('Economic Assumptions'!$B$12:$CC$85,$L36,$B$4+F$6)</f>
        <v>0.03</v>
      </c>
      <c r="G36" s="197">
        <f>INDEX('Economic Assumptions'!$B$12:$CC$85,$L36,$B$4+G$6)</f>
        <v>2.5000000000000001E-2</v>
      </c>
      <c r="H36" s="419">
        <f>IF($D$4=1,INDEX('Economic Assumptions'!$B$12:$CC$85,$L36,$B$4+H$6)/H$9,1)</f>
        <v>1</v>
      </c>
      <c r="I36" s="64"/>
      <c r="J36" s="214">
        <f t="shared" si="1"/>
        <v>2.0937779296542165</v>
      </c>
      <c r="K36" s="64"/>
      <c r="L36" s="108">
        <f t="shared" si="3"/>
        <v>29</v>
      </c>
      <c r="M36" s="64"/>
      <c r="N36" s="108">
        <f>'Economic Assumptions'!A37</f>
        <v>2045</v>
      </c>
      <c r="O36" s="108">
        <f>(1+INDEX('Economic Assumptions'!$B$12:$CC$85,L36,$B$4+F$6))*O35</f>
        <v>2.2555160823791791</v>
      </c>
      <c r="P36" s="472">
        <f>IF(N36&lt;=$B$5,1,(1+INDEX('Economic Assumptions'!$B$12:$CC$85,L36,$B$4+F$6))*P35)</f>
        <v>1.9161034088607827</v>
      </c>
      <c r="Q36" s="64"/>
      <c r="R36" s="64"/>
      <c r="S36" s="64"/>
      <c r="T36" s="64"/>
      <c r="U36" s="64"/>
      <c r="V36" s="64"/>
      <c r="W36" s="64"/>
      <c r="X36" s="64"/>
      <c r="Y36" s="64"/>
      <c r="Z36" s="64"/>
      <c r="AA36" s="64"/>
      <c r="AB36" s="64"/>
      <c r="AC36" s="64"/>
      <c r="AD36" s="64"/>
      <c r="AE36" s="64"/>
      <c r="AF36" s="64"/>
      <c r="AG36" s="64"/>
      <c r="AH36" s="64"/>
      <c r="AI36" s="64"/>
      <c r="AJ36" s="64"/>
      <c r="AK36" s="64"/>
    </row>
    <row r="37" spans="1:37">
      <c r="A37" s="108">
        <f t="shared" si="2"/>
        <v>2049</v>
      </c>
      <c r="B37" s="149">
        <f>INDEX('Economic Assumptions'!$B$12:$CC$85,$L37,$B$4+B$6)+'Economic Assumptions'!B$9*'Selected Economics'!$P37</f>
        <v>134.48255317198033</v>
      </c>
      <c r="C37" s="149">
        <f>INDEX('Economic Assumptions'!$B$12:$CC$85,$L37,$B$4+C$6)+'Economic Assumptions'!C$9*'Selected Economics'!$P37</f>
        <v>168.10319146497542</v>
      </c>
      <c r="D37" s="149">
        <f>INDEX('Economic Assumptions'!$B$12:$CC$85,$L37,$B$4+D$6)+'Economic Assumptions'!D$9*'Selected Economics'!$P37</f>
        <v>5.2945405333993429</v>
      </c>
      <c r="E37" s="213">
        <f>INDEX('Economic Assumptions'!$B$12:$CC$85,$L37,$B$4+E$6)</f>
        <v>0.73</v>
      </c>
      <c r="F37" s="197">
        <f>INDEX('Economic Assumptions'!$B$12:$CC$85,$L37,$B$4+F$6)</f>
        <v>0.03</v>
      </c>
      <c r="G37" s="197">
        <f>INDEX('Economic Assumptions'!$B$12:$CC$85,$L37,$B$4+G$6)</f>
        <v>2.5000000000000001E-2</v>
      </c>
      <c r="H37" s="419">
        <f>IF($D$4=1,INDEX('Economic Assumptions'!$B$12:$CC$85,$L37,$B$4+H$6)/H$9,1)</f>
        <v>1</v>
      </c>
      <c r="I37" s="64"/>
      <c r="J37" s="214">
        <f t="shared" si="1"/>
        <v>2.1565912675438432</v>
      </c>
      <c r="K37" s="64"/>
      <c r="L37" s="108">
        <f t="shared" si="3"/>
        <v>30</v>
      </c>
      <c r="M37" s="64"/>
      <c r="N37" s="108">
        <f>'Economic Assumptions'!A38</f>
        <v>2046</v>
      </c>
      <c r="O37" s="108">
        <f>(1+INDEX('Economic Assumptions'!$B$12:$CC$85,L37,$B$4+F$6))*O36</f>
        <v>2.3231815648505547</v>
      </c>
      <c r="P37" s="472">
        <f>IF(N37&lt;=$B$5,1,(1+INDEX('Economic Assumptions'!$B$12:$CC$85,L37,$B$4+F$6))*P36)</f>
        <v>1.9735865111266062</v>
      </c>
      <c r="Q37" s="64"/>
      <c r="R37" s="64"/>
      <c r="S37" s="64"/>
      <c r="T37" s="64"/>
      <c r="U37" s="64"/>
      <c r="V37" s="64"/>
      <c r="W37" s="64"/>
      <c r="X37" s="64"/>
      <c r="Y37" s="64"/>
      <c r="Z37" s="64"/>
      <c r="AA37" s="64"/>
      <c r="AB37" s="64"/>
      <c r="AC37" s="64"/>
      <c r="AD37" s="64"/>
      <c r="AE37" s="64"/>
      <c r="AF37" s="64"/>
      <c r="AG37" s="64"/>
      <c r="AH37" s="64"/>
      <c r="AI37" s="64"/>
      <c r="AJ37" s="64"/>
      <c r="AK37" s="64"/>
    </row>
    <row r="38" spans="1:37">
      <c r="A38" s="108">
        <f t="shared" si="2"/>
        <v>2050</v>
      </c>
      <c r="B38" s="149">
        <f>INDEX('Economic Assumptions'!$B$12:$CC$85,$L38,$B$4+B$6)+'Economic Assumptions'!B$9*'Selected Economics'!$P38</f>
        <v>138.51702976713975</v>
      </c>
      <c r="C38" s="149">
        <f>INDEX('Economic Assumptions'!$B$12:$CC$85,$L38,$B$4+C$6)+'Economic Assumptions'!C$9*'Selected Economics'!$P38</f>
        <v>173.14628720892469</v>
      </c>
      <c r="D38" s="149">
        <f>INDEX('Economic Assumptions'!$B$12:$CC$85,$L38,$B$4+D$6)+'Economic Assumptions'!D$9*'Selected Economics'!$P38</f>
        <v>5.4533767494013237</v>
      </c>
      <c r="E38" s="213">
        <f>INDEX('Economic Assumptions'!$B$12:$CC$85,$L38,$B$4+E$6)</f>
        <v>0.73</v>
      </c>
      <c r="F38" s="197">
        <f>INDEX('Economic Assumptions'!$B$12:$CC$85,$L38,$B$4+F$6)</f>
        <v>0.03</v>
      </c>
      <c r="G38" s="197">
        <f>INDEX('Economic Assumptions'!$B$12:$CC$85,$L38,$B$4+G$6)</f>
        <v>2.5000000000000001E-2</v>
      </c>
      <c r="H38" s="419">
        <f>IF($D$4=1,INDEX('Economic Assumptions'!$B$12:$CC$85,$L38,$B$4+H$6)/H$9,1)</f>
        <v>1</v>
      </c>
      <c r="I38" s="64"/>
      <c r="J38" s="214">
        <f t="shared" si="1"/>
        <v>2.2212890055701586</v>
      </c>
      <c r="K38" s="64"/>
      <c r="L38" s="108">
        <f t="shared" si="3"/>
        <v>31</v>
      </c>
      <c r="M38" s="64"/>
      <c r="N38" s="108">
        <f>'Economic Assumptions'!A39</f>
        <v>2047</v>
      </c>
      <c r="O38" s="108">
        <f>(1+INDEX('Economic Assumptions'!$B$12:$CC$85,L38,$B$4+F$6))*O37</f>
        <v>2.3928770117960716</v>
      </c>
      <c r="P38" s="472">
        <f>IF(N38&lt;=$B$5,1,(1+INDEX('Economic Assumptions'!$B$12:$CC$85,L38,$B$4+F$6))*P37)</f>
        <v>2.0327941064604045</v>
      </c>
      <c r="Q38" s="64"/>
      <c r="R38" s="64"/>
      <c r="S38" s="64"/>
      <c r="T38" s="64"/>
      <c r="U38" s="64"/>
      <c r="V38" s="64"/>
      <c r="W38" s="64"/>
      <c r="X38" s="64"/>
      <c r="Y38" s="64"/>
      <c r="Z38" s="64"/>
      <c r="AA38" s="64"/>
      <c r="AB38" s="64"/>
      <c r="AC38" s="64"/>
      <c r="AD38" s="64"/>
      <c r="AE38" s="64"/>
      <c r="AF38" s="64"/>
      <c r="AG38" s="64"/>
      <c r="AH38" s="64"/>
      <c r="AI38" s="64"/>
      <c r="AJ38" s="64"/>
      <c r="AK38" s="64"/>
    </row>
    <row r="39" spans="1:37">
      <c r="A39" s="108">
        <f t="shared" si="2"/>
        <v>2051</v>
      </c>
      <c r="B39" s="149">
        <f>INDEX('Economic Assumptions'!$B$12:$CC$85,$L39,$B$4+B$6)+'Economic Assumptions'!B$9*'Selected Economics'!$P39</f>
        <v>142.67254066015397</v>
      </c>
      <c r="C39" s="149">
        <f>INDEX('Economic Assumptions'!$B$12:$CC$85,$L39,$B$4+C$6)+'Economic Assumptions'!C$9*'Selected Economics'!$P39</f>
        <v>178.34067582519245</v>
      </c>
      <c r="D39" s="149">
        <f>INDEX('Economic Assumptions'!$B$12:$CC$85,$L39,$B$4+D$6)+'Economic Assumptions'!D$9*'Selected Economics'!$P39</f>
        <v>5.6169780518833639</v>
      </c>
      <c r="E39" s="213">
        <f>INDEX('Economic Assumptions'!$B$12:$CC$85,$L39,$B$4+E$6)</f>
        <v>0.73</v>
      </c>
      <c r="F39" s="197">
        <f>INDEX('Economic Assumptions'!$B$12:$CC$85,$L39,$B$4+F$6)</f>
        <v>0.03</v>
      </c>
      <c r="G39" s="197">
        <f>INDEX('Economic Assumptions'!$B$12:$CC$85,$L39,$B$4+G$6)</f>
        <v>2.5000000000000001E-2</v>
      </c>
      <c r="H39" s="419">
        <f>IF($D$4=1,INDEX('Economic Assumptions'!$B$12:$CC$85,$L39,$B$4+H$6)/H$9,1)</f>
        <v>1</v>
      </c>
      <c r="I39" s="64"/>
      <c r="J39" s="214">
        <f t="shared" si="1"/>
        <v>2.2879276757372633</v>
      </c>
      <c r="K39" s="64"/>
      <c r="L39" s="108">
        <f t="shared" si="3"/>
        <v>32</v>
      </c>
      <c r="M39" s="64"/>
      <c r="N39" s="108">
        <f>'Economic Assumptions'!A40</f>
        <v>2048</v>
      </c>
      <c r="O39" s="108">
        <f>(1+INDEX('Economic Assumptions'!$B$12:$CC$85,L39,$B$4+F$6))*O38</f>
        <v>2.4646633221499537</v>
      </c>
      <c r="P39" s="472">
        <f>IF(N39&lt;=$B$5,1,(1+INDEX('Economic Assumptions'!$B$12:$CC$85,L39,$B$4+F$6))*P38)</f>
        <v>2.0937779296542165</v>
      </c>
      <c r="Q39" s="64"/>
      <c r="R39" s="64"/>
      <c r="S39" s="64"/>
      <c r="T39" s="64"/>
      <c r="U39" s="64"/>
      <c r="V39" s="64"/>
      <c r="W39" s="64"/>
      <c r="X39" s="64"/>
      <c r="Y39" s="64"/>
      <c r="Z39" s="64"/>
      <c r="AA39" s="64"/>
      <c r="AB39" s="64"/>
      <c r="AC39" s="64"/>
      <c r="AD39" s="64"/>
      <c r="AE39" s="64"/>
      <c r="AF39" s="64"/>
      <c r="AG39" s="64"/>
      <c r="AH39" s="64"/>
      <c r="AI39" s="64"/>
      <c r="AJ39" s="64"/>
      <c r="AK39" s="64"/>
    </row>
    <row r="40" spans="1:37">
      <c r="A40" s="108">
        <f t="shared" si="2"/>
        <v>2052</v>
      </c>
      <c r="B40" s="149">
        <f>INDEX('Economic Assumptions'!$B$12:$CC$85,$L40,$B$4+B$6)+'Economic Assumptions'!B$9*'Selected Economics'!$P40</f>
        <v>146.95271687995859</v>
      </c>
      <c r="C40" s="149">
        <f>INDEX('Economic Assumptions'!$B$12:$CC$85,$L40,$B$4+C$6)+'Economic Assumptions'!C$9*'Selected Economics'!$P40</f>
        <v>183.69089609994822</v>
      </c>
      <c r="D40" s="149">
        <f>INDEX('Economic Assumptions'!$B$12:$CC$85,$L40,$B$4+D$6)+'Economic Assumptions'!D$9*'Selected Economics'!$P40</f>
        <v>5.7854873934398645</v>
      </c>
      <c r="E40" s="213">
        <f>INDEX('Economic Assumptions'!$B$12:$CC$85,$L40,$B$4+E$6)</f>
        <v>0.73</v>
      </c>
      <c r="F40" s="197">
        <f>INDEX('Economic Assumptions'!$B$12:$CC$85,$L40,$B$4+F$6)</f>
        <v>0.03</v>
      </c>
      <c r="G40" s="197">
        <f>INDEX('Economic Assumptions'!$B$12:$CC$85,$L40,$B$4+G$6)</f>
        <v>2.5000000000000001E-2</v>
      </c>
      <c r="H40" s="419">
        <f>IF($D$4=1,INDEX('Economic Assumptions'!$B$12:$CC$85,$L40,$B$4+H$6)/H$9,1)</f>
        <v>1</v>
      </c>
      <c r="I40" s="64"/>
      <c r="J40" s="214">
        <f t="shared" si="1"/>
        <v>2.3565655060093813</v>
      </c>
      <c r="K40" s="64"/>
      <c r="L40" s="108">
        <f t="shared" si="3"/>
        <v>33</v>
      </c>
      <c r="M40" s="64"/>
      <c r="N40" s="108">
        <f>'Economic Assumptions'!A41</f>
        <v>2049</v>
      </c>
      <c r="O40" s="108">
        <f>(1+INDEX('Economic Assumptions'!$B$12:$CC$85,L40,$B$4+F$6))*O39</f>
        <v>2.5386032218144523</v>
      </c>
      <c r="P40" s="472">
        <f>IF(N40&lt;=$B$5,1,(1+INDEX('Economic Assumptions'!$B$12:$CC$85,L40,$B$4+F$6))*P39)</f>
        <v>2.1565912675438432</v>
      </c>
      <c r="Q40" s="64"/>
      <c r="R40" s="64"/>
      <c r="S40" s="64"/>
      <c r="T40" s="64"/>
      <c r="U40" s="64"/>
      <c r="V40" s="64"/>
      <c r="W40" s="64"/>
      <c r="X40" s="64"/>
      <c r="Y40" s="64"/>
      <c r="Z40" s="64"/>
      <c r="AA40" s="64"/>
      <c r="AB40" s="64"/>
      <c r="AC40" s="64"/>
      <c r="AD40" s="64"/>
      <c r="AE40" s="64"/>
      <c r="AF40" s="64"/>
      <c r="AG40" s="64"/>
      <c r="AH40" s="64"/>
      <c r="AI40" s="64"/>
      <c r="AJ40" s="64"/>
      <c r="AK40" s="64"/>
    </row>
    <row r="41" spans="1:37">
      <c r="A41" s="108">
        <f t="shared" si="2"/>
        <v>2053</v>
      </c>
      <c r="B41" s="149">
        <f>INDEX('Economic Assumptions'!$B$12:$CC$85,$L41,$B$4+B$6)+'Economic Assumptions'!B$9*'Selected Economics'!$P41</f>
        <v>151.36129838635736</v>
      </c>
      <c r="C41" s="149">
        <f>INDEX('Economic Assumptions'!$B$12:$CC$85,$L41,$B$4+C$6)+'Economic Assumptions'!C$9*'Selected Economics'!$P41</f>
        <v>189.20162298294667</v>
      </c>
      <c r="D41" s="149">
        <f>INDEX('Economic Assumptions'!$B$12:$CC$85,$L41,$B$4+D$6)+'Economic Assumptions'!D$9*'Selected Economics'!$P41</f>
        <v>5.9590520152430608</v>
      </c>
      <c r="E41" s="213">
        <f>INDEX('Economic Assumptions'!$B$12:$CC$85,$L41,$B$4+E$6)</f>
        <v>0.73</v>
      </c>
      <c r="F41" s="197">
        <f>INDEX('Economic Assumptions'!$B$12:$CC$85,$L41,$B$4+F$6)</f>
        <v>0.03</v>
      </c>
      <c r="G41" s="197">
        <f>INDEX('Economic Assumptions'!$B$12:$CC$85,$L41,$B$4+G$6)</f>
        <v>2.5000000000000001E-2</v>
      </c>
      <c r="H41" s="419">
        <f>IF($D$4=1,INDEX('Economic Assumptions'!$B$12:$CC$85,$L41,$B$4+H$6)/H$9,1)</f>
        <v>1</v>
      </c>
      <c r="I41" s="64"/>
      <c r="J41" s="214">
        <f t="shared" si="1"/>
        <v>2.4272624711896627</v>
      </c>
      <c r="K41" s="64"/>
      <c r="L41" s="108">
        <f t="shared" si="3"/>
        <v>34</v>
      </c>
      <c r="M41" s="64"/>
      <c r="N41" s="108">
        <f>'Economic Assumptions'!A42</f>
        <v>2050</v>
      </c>
      <c r="O41" s="108">
        <f>(1+INDEX('Economic Assumptions'!$B$12:$CC$85,L41,$B$4+F$6))*O40</f>
        <v>2.614761318468886</v>
      </c>
      <c r="P41" s="472">
        <f>IF(N41&lt;=$B$5,1,(1+INDEX('Economic Assumptions'!$B$12:$CC$85,L41,$B$4+F$6))*P40)</f>
        <v>2.2212890055701586</v>
      </c>
      <c r="Q41" s="64"/>
      <c r="R41" s="64"/>
      <c r="S41" s="64"/>
      <c r="T41" s="64"/>
      <c r="U41" s="64"/>
      <c r="V41" s="64"/>
      <c r="W41" s="64"/>
      <c r="X41" s="64"/>
      <c r="Y41" s="64"/>
      <c r="Z41" s="64"/>
      <c r="AA41" s="64"/>
      <c r="AB41" s="64"/>
      <c r="AC41" s="64"/>
      <c r="AD41" s="64"/>
      <c r="AE41" s="64"/>
      <c r="AF41" s="64"/>
      <c r="AG41" s="64"/>
      <c r="AH41" s="64"/>
      <c r="AI41" s="64"/>
      <c r="AJ41" s="64"/>
      <c r="AK41" s="64"/>
    </row>
    <row r="42" spans="1:37">
      <c r="A42" s="108">
        <f t="shared" si="2"/>
        <v>2054</v>
      </c>
      <c r="B42" s="149">
        <f>INDEX('Economic Assumptions'!$B$12:$CC$85,$L42,$B$4+B$6)+'Economic Assumptions'!B$9*'Selected Economics'!$P42</f>
        <v>155.90213733794806</v>
      </c>
      <c r="C42" s="149">
        <f>INDEX('Economic Assumptions'!$B$12:$CC$85,$L42,$B$4+C$6)+'Economic Assumptions'!C$9*'Selected Economics'!$P42</f>
        <v>194.87767167243507</v>
      </c>
      <c r="D42" s="149">
        <f>INDEX('Economic Assumptions'!$B$12:$CC$85,$L42,$B$4+D$6)+'Economic Assumptions'!D$9*'Selected Economics'!$P42</f>
        <v>6.1378235757003523</v>
      </c>
      <c r="E42" s="213">
        <f>INDEX('Economic Assumptions'!$B$12:$CC$85,$L42,$B$4+E$6)</f>
        <v>0.73</v>
      </c>
      <c r="F42" s="197">
        <f>INDEX('Economic Assumptions'!$B$12:$CC$85,$L42,$B$4+F$6)</f>
        <v>0.03</v>
      </c>
      <c r="G42" s="197">
        <f>INDEX('Economic Assumptions'!$B$12:$CC$85,$L42,$B$4+G$6)</f>
        <v>2.5000000000000001E-2</v>
      </c>
      <c r="H42" s="419">
        <f>IF($D$4=1,INDEX('Economic Assumptions'!$B$12:$CC$85,$L42,$B$4+H$6)/H$9,1)</f>
        <v>1</v>
      </c>
      <c r="I42" s="64"/>
      <c r="J42" s="214">
        <f t="shared" si="1"/>
        <v>2.5000803453253524</v>
      </c>
      <c r="K42" s="64"/>
      <c r="L42" s="108">
        <f t="shared" si="3"/>
        <v>35</v>
      </c>
      <c r="M42" s="64"/>
      <c r="N42" s="108">
        <f>'Economic Assumptions'!A43</f>
        <v>2051</v>
      </c>
      <c r="O42" s="108">
        <f>(1+INDEX('Economic Assumptions'!$B$12:$CC$85,L42,$B$4+F$6))*O41</f>
        <v>2.6932041580229527</v>
      </c>
      <c r="P42" s="472">
        <f>IF(N42&lt;=$B$5,1,(1+INDEX('Economic Assumptions'!$B$12:$CC$85,L42,$B$4+F$6))*P41)</f>
        <v>2.2879276757372633</v>
      </c>
      <c r="Q42" s="64"/>
      <c r="R42" s="64"/>
      <c r="S42" s="64"/>
      <c r="T42" s="64"/>
      <c r="U42" s="64"/>
      <c r="V42" s="64"/>
      <c r="W42" s="64"/>
      <c r="X42" s="64"/>
      <c r="Y42" s="64"/>
      <c r="Z42" s="64"/>
      <c r="AA42" s="64"/>
      <c r="AB42" s="64"/>
      <c r="AC42" s="64"/>
      <c r="AD42" s="64"/>
      <c r="AE42" s="64"/>
      <c r="AF42" s="64"/>
      <c r="AG42" s="64"/>
      <c r="AH42" s="64"/>
      <c r="AI42" s="64"/>
      <c r="AJ42" s="64"/>
      <c r="AK42" s="64"/>
    </row>
    <row r="43" spans="1:37">
      <c r="A43" s="108">
        <f t="shared" si="2"/>
        <v>2055</v>
      </c>
      <c r="B43" s="149">
        <f>INDEX('Economic Assumptions'!$B$12:$CC$85,$L43,$B$4+B$6)+'Economic Assumptions'!B$9*'Selected Economics'!$P43</f>
        <v>160.57920145808649</v>
      </c>
      <c r="C43" s="149">
        <f>INDEX('Economic Assumptions'!$B$12:$CC$85,$L43,$B$4+C$6)+'Economic Assumptions'!C$9*'Selected Economics'!$P43</f>
        <v>200.7240018226081</v>
      </c>
      <c r="D43" s="149">
        <f>INDEX('Economic Assumptions'!$B$12:$CC$85,$L43,$B$4+D$6)+'Economic Assumptions'!D$9*'Selected Economics'!$P43</f>
        <v>6.3219582829713632</v>
      </c>
      <c r="E43" s="213">
        <f>INDEX('Economic Assumptions'!$B$12:$CC$85,$L43,$B$4+E$6)</f>
        <v>0.73</v>
      </c>
      <c r="F43" s="197">
        <f>INDEX('Economic Assumptions'!$B$12:$CC$85,$L43,$B$4+F$6)</f>
        <v>0.03</v>
      </c>
      <c r="G43" s="197">
        <f>INDEX('Economic Assumptions'!$B$12:$CC$85,$L43,$B$4+G$6)</f>
        <v>2.5000000000000001E-2</v>
      </c>
      <c r="H43" s="419">
        <f>IF($D$4=1,INDEX('Economic Assumptions'!$B$12:$CC$85,$L43,$B$4+H$6)/H$9,1)</f>
        <v>1</v>
      </c>
      <c r="I43" s="64"/>
      <c r="J43" s="214">
        <f t="shared" si="1"/>
        <v>2.5750827556851132</v>
      </c>
      <c r="K43" s="64"/>
      <c r="L43" s="108">
        <f t="shared" si="3"/>
        <v>36</v>
      </c>
      <c r="M43" s="64"/>
      <c r="N43" s="108">
        <f>'Economic Assumptions'!A44</f>
        <v>2052</v>
      </c>
      <c r="O43" s="108">
        <f>(1+INDEX('Economic Assumptions'!$B$12:$CC$85,L43,$B$4+F$6))*O42</f>
        <v>2.7740002827636414</v>
      </c>
      <c r="P43" s="472">
        <f>IF(N43&lt;=$B$5,1,(1+INDEX('Economic Assumptions'!$B$12:$CC$85,L43,$B$4+F$6))*P42)</f>
        <v>2.3565655060093813</v>
      </c>
      <c r="Q43" s="64"/>
      <c r="R43" s="64"/>
      <c r="S43" s="64"/>
      <c r="T43" s="64"/>
      <c r="U43" s="64"/>
      <c r="V43" s="64"/>
      <c r="W43" s="64"/>
      <c r="X43" s="64"/>
      <c r="Y43" s="64"/>
      <c r="Z43" s="64"/>
      <c r="AA43" s="64"/>
      <c r="AB43" s="64"/>
      <c r="AC43" s="64"/>
      <c r="AD43" s="64"/>
      <c r="AE43" s="64"/>
      <c r="AF43" s="64"/>
      <c r="AG43" s="64"/>
      <c r="AH43" s="64"/>
      <c r="AI43" s="64"/>
      <c r="AJ43" s="64"/>
      <c r="AK43" s="64"/>
    </row>
    <row r="44" spans="1:37">
      <c r="A44" s="108">
        <f t="shared" si="2"/>
        <v>2056</v>
      </c>
      <c r="B44" s="149">
        <f>INDEX('Economic Assumptions'!$B$12:$CC$85,$L44,$B$4+B$6)+'Economic Assumptions'!B$9*'Selected Economics'!$P44</f>
        <v>165.39657750182909</v>
      </c>
      <c r="C44" s="149">
        <f>INDEX('Economic Assumptions'!$B$12:$CC$85,$L44,$B$4+C$6)+'Economic Assumptions'!C$9*'Selected Economics'!$P44</f>
        <v>206.74572187728634</v>
      </c>
      <c r="D44" s="149">
        <f>INDEX('Economic Assumptions'!$B$12:$CC$85,$L44,$B$4+D$6)+'Economic Assumptions'!D$9*'Selected Economics'!$P44</f>
        <v>6.5116170314605046</v>
      </c>
      <c r="E44" s="213">
        <f>INDEX('Economic Assumptions'!$B$12:$CC$85,$L44,$B$4+E$6)</f>
        <v>0.73</v>
      </c>
      <c r="F44" s="197">
        <f>INDEX('Economic Assumptions'!$B$12:$CC$85,$L44,$B$4+F$6)</f>
        <v>0.03</v>
      </c>
      <c r="G44" s="197">
        <f>INDEX('Economic Assumptions'!$B$12:$CC$85,$L44,$B$4+G$6)</f>
        <v>2.5000000000000001E-2</v>
      </c>
      <c r="H44" s="419">
        <f>IF($D$4=1,INDEX('Economic Assumptions'!$B$12:$CC$85,$L44,$B$4+H$6)/H$9,1)</f>
        <v>1</v>
      </c>
      <c r="I44" s="64"/>
      <c r="J44" s="214">
        <f t="shared" si="1"/>
        <v>2.6523352383556666</v>
      </c>
      <c r="K44" s="64"/>
      <c r="L44" s="108">
        <f t="shared" si="3"/>
        <v>37</v>
      </c>
      <c r="M44" s="64"/>
      <c r="N44" s="108">
        <f>'Economic Assumptions'!A45</f>
        <v>2053</v>
      </c>
      <c r="O44" s="108">
        <f>(1+INDEX('Economic Assumptions'!$B$12:$CC$85,L44,$B$4+F$6))*O43</f>
        <v>2.8572202912465507</v>
      </c>
      <c r="P44" s="472">
        <f>IF(N44&lt;=$B$5,1,(1+INDEX('Economic Assumptions'!$B$12:$CC$85,L44,$B$4+F$6))*P43)</f>
        <v>2.4272624711896627</v>
      </c>
      <c r="Q44" s="64"/>
      <c r="R44" s="64"/>
      <c r="S44" s="64"/>
      <c r="T44" s="64"/>
      <c r="U44" s="64"/>
      <c r="V44" s="64"/>
      <c r="W44" s="64"/>
      <c r="X44" s="64"/>
      <c r="Y44" s="64"/>
      <c r="Z44" s="64"/>
      <c r="AA44" s="64"/>
      <c r="AB44" s="64"/>
      <c r="AC44" s="64"/>
      <c r="AD44" s="64"/>
      <c r="AE44" s="64"/>
      <c r="AF44" s="64"/>
      <c r="AG44" s="64"/>
      <c r="AH44" s="64"/>
      <c r="AI44" s="64"/>
      <c r="AJ44" s="64"/>
      <c r="AK44" s="64"/>
    </row>
    <row r="45" spans="1:37">
      <c r="A45" s="108">
        <f t="shared" si="2"/>
        <v>2057</v>
      </c>
      <c r="B45" s="149">
        <f>INDEX('Economic Assumptions'!$B$12:$CC$85,$L45,$B$4+B$6)+'Economic Assumptions'!B$9*'Selected Economics'!$P45</f>
        <v>170.35847482688396</v>
      </c>
      <c r="C45" s="149">
        <f>INDEX('Economic Assumptions'!$B$12:$CC$85,$L45,$B$4+C$6)+'Economic Assumptions'!C$9*'Selected Economics'!$P45</f>
        <v>212.94809353360495</v>
      </c>
      <c r="D45" s="149">
        <f>INDEX('Economic Assumptions'!$B$12:$CC$85,$L45,$B$4+D$6)+'Economic Assumptions'!D$9*'Selected Economics'!$P45</f>
        <v>6.70696554240432</v>
      </c>
      <c r="E45" s="213">
        <f>INDEX('Economic Assumptions'!$B$12:$CC$85,$L45,$B$4+E$6)</f>
        <v>0.73</v>
      </c>
      <c r="F45" s="197">
        <f>INDEX('Economic Assumptions'!$B$12:$CC$85,$L45,$B$4+F$6)</f>
        <v>0.03</v>
      </c>
      <c r="G45" s="197">
        <f>INDEX('Economic Assumptions'!$B$12:$CC$85,$L45,$B$4+G$6)</f>
        <v>2.5000000000000001E-2</v>
      </c>
      <c r="H45" s="419">
        <f>IF($D$4=1,INDEX('Economic Assumptions'!$B$12:$CC$85,$L45,$B$4+H$6)/H$9,1)</f>
        <v>1</v>
      </c>
      <c r="I45" s="64"/>
      <c r="J45" s="214">
        <f t="shared" si="1"/>
        <v>2.7319052955063365</v>
      </c>
      <c r="K45" s="64"/>
      <c r="L45" s="108">
        <f t="shared" si="3"/>
        <v>38</v>
      </c>
      <c r="M45" s="64"/>
      <c r="N45" s="108">
        <f>'Economic Assumptions'!A46</f>
        <v>2054</v>
      </c>
      <c r="O45" s="108">
        <f>(1+INDEX('Economic Assumptions'!$B$12:$CC$85,L45,$B$4+F$6))*O44</f>
        <v>2.9429368999839474</v>
      </c>
      <c r="P45" s="472">
        <f>IF(N45&lt;=$B$5,1,(1+INDEX('Economic Assumptions'!$B$12:$CC$85,L45,$B$4+F$6))*P44)</f>
        <v>2.5000803453253524</v>
      </c>
      <c r="Q45" s="64"/>
      <c r="R45" s="64"/>
      <c r="S45" s="64"/>
      <c r="T45" s="64"/>
      <c r="U45" s="64"/>
      <c r="V45" s="64"/>
      <c r="W45" s="64"/>
      <c r="X45" s="64"/>
      <c r="Y45" s="64"/>
      <c r="Z45" s="64"/>
      <c r="AA45" s="64"/>
      <c r="AB45" s="64"/>
      <c r="AC45" s="64"/>
      <c r="AD45" s="64"/>
      <c r="AE45" s="64"/>
      <c r="AF45" s="64"/>
      <c r="AG45" s="64"/>
      <c r="AH45" s="64"/>
      <c r="AI45" s="64"/>
      <c r="AJ45" s="64"/>
      <c r="AK45" s="64"/>
    </row>
    <row r="46" spans="1:37">
      <c r="A46" s="108">
        <f t="shared" si="2"/>
        <v>2058</v>
      </c>
      <c r="B46" s="149">
        <f>INDEX('Economic Assumptions'!$B$12:$CC$85,$L46,$B$4+B$6)+'Economic Assumptions'!B$9*'Selected Economics'!$P46</f>
        <v>175.46922907169048</v>
      </c>
      <c r="C46" s="149">
        <f>INDEX('Economic Assumptions'!$B$12:$CC$85,$L46,$B$4+C$6)+'Economic Assumptions'!C$9*'Selected Economics'!$P46</f>
        <v>219.3365363396131</v>
      </c>
      <c r="D46" s="149">
        <f>INDEX('Economic Assumptions'!$B$12:$CC$85,$L46,$B$4+D$6)+'Economic Assumptions'!D$9*'Selected Economics'!$P46</f>
        <v>6.9081745086764492</v>
      </c>
      <c r="E46" s="213">
        <f>INDEX('Economic Assumptions'!$B$12:$CC$85,$L46,$B$4+E$6)</f>
        <v>0.73</v>
      </c>
      <c r="F46" s="197">
        <f>INDEX('Economic Assumptions'!$B$12:$CC$85,$L46,$B$4+F$6)</f>
        <v>0.03</v>
      </c>
      <c r="G46" s="197">
        <f>INDEX('Economic Assumptions'!$B$12:$CC$85,$L46,$B$4+G$6)</f>
        <v>2.5000000000000001E-2</v>
      </c>
      <c r="H46" s="419">
        <f>IF($D$4=1,INDEX('Economic Assumptions'!$B$12:$CC$85,$L46,$B$4+H$6)/H$9,1)</f>
        <v>1</v>
      </c>
      <c r="I46" s="64"/>
      <c r="J46" s="214">
        <f t="shared" si="1"/>
        <v>2.8138624543715265</v>
      </c>
      <c r="K46" s="64"/>
      <c r="L46" s="108">
        <f t="shared" si="3"/>
        <v>39</v>
      </c>
      <c r="M46" s="64"/>
      <c r="N46" s="108">
        <f>'Economic Assumptions'!A47</f>
        <v>2055</v>
      </c>
      <c r="O46" s="108">
        <f>(1+INDEX('Economic Assumptions'!$B$12:$CC$85,L46,$B$4+F$6))*O45</f>
        <v>3.0312250069834659</v>
      </c>
      <c r="P46" s="472">
        <f>IF(N46&lt;=$B$5,1,(1+INDEX('Economic Assumptions'!$B$12:$CC$85,L46,$B$4+F$6))*P45)</f>
        <v>2.5750827556851132</v>
      </c>
      <c r="Q46" s="64"/>
      <c r="R46" s="64"/>
      <c r="S46" s="64"/>
      <c r="T46" s="64"/>
      <c r="U46" s="64"/>
      <c r="V46" s="64"/>
      <c r="W46" s="64"/>
      <c r="X46" s="64"/>
      <c r="Y46" s="64"/>
      <c r="Z46" s="64"/>
      <c r="AA46" s="64"/>
      <c r="AB46" s="64"/>
      <c r="AC46" s="64"/>
      <c r="AD46" s="64"/>
      <c r="AE46" s="64"/>
      <c r="AF46" s="64"/>
      <c r="AG46" s="64"/>
      <c r="AH46" s="64"/>
      <c r="AI46" s="64"/>
      <c r="AJ46" s="64"/>
      <c r="AK46" s="64"/>
    </row>
    <row r="47" spans="1:37">
      <c r="A47" s="108">
        <f t="shared" si="2"/>
        <v>2059</v>
      </c>
      <c r="B47" s="149">
        <f>INDEX('Economic Assumptions'!$B$12:$CC$85,$L47,$B$4+B$6)+'Economic Assumptions'!B$9*'Selected Economics'!$P47</f>
        <v>180.7333059438412</v>
      </c>
      <c r="C47" s="149">
        <f>INDEX('Economic Assumptions'!$B$12:$CC$85,$L47,$B$4+C$6)+'Economic Assumptions'!C$9*'Selected Economics'!$P47</f>
        <v>225.9166324298015</v>
      </c>
      <c r="D47" s="149">
        <f>INDEX('Economic Assumptions'!$B$12:$CC$85,$L47,$B$4+D$6)+'Economic Assumptions'!D$9*'Selected Economics'!$P47</f>
        <v>7.1154197439367435</v>
      </c>
      <c r="E47" s="213">
        <f>INDEX('Economic Assumptions'!$B$12:$CC$85,$L47,$B$4+E$6)</f>
        <v>0.73</v>
      </c>
      <c r="F47" s="197">
        <f>INDEX('Economic Assumptions'!$B$12:$CC$85,$L47,$B$4+F$6)</f>
        <v>0.03</v>
      </c>
      <c r="G47" s="197">
        <f>INDEX('Economic Assumptions'!$B$12:$CC$85,$L47,$B$4+G$6)</f>
        <v>2.5000000000000001E-2</v>
      </c>
      <c r="H47" s="419">
        <f>IF($D$4=1,INDEX('Economic Assumptions'!$B$12:$CC$85,$L47,$B$4+H$6)/H$9,1)</f>
        <v>1</v>
      </c>
      <c r="I47" s="64"/>
      <c r="J47" s="214">
        <f t="shared" si="1"/>
        <v>2.8982783280026725</v>
      </c>
      <c r="K47" s="64"/>
      <c r="L47" s="108">
        <f t="shared" si="3"/>
        <v>40</v>
      </c>
      <c r="M47" s="64"/>
      <c r="N47" s="108">
        <f>'Economic Assumptions'!A48</f>
        <v>2056</v>
      </c>
      <c r="O47" s="108">
        <f>(1+INDEX('Economic Assumptions'!$B$12:$CC$85,L47,$B$4+F$6))*O46</f>
        <v>3.1221617571929698</v>
      </c>
      <c r="P47" s="472">
        <f>IF(N47&lt;=$B$5,1,(1+INDEX('Economic Assumptions'!$B$12:$CC$85,L47,$B$4+F$6))*P46)</f>
        <v>2.6523352383556666</v>
      </c>
      <c r="Q47" s="64"/>
      <c r="R47" s="64"/>
      <c r="S47" s="64"/>
      <c r="T47" s="64"/>
      <c r="U47" s="64"/>
      <c r="V47" s="64"/>
      <c r="W47" s="64"/>
      <c r="X47" s="64"/>
      <c r="Y47" s="64"/>
      <c r="Z47" s="64"/>
      <c r="AA47" s="64"/>
      <c r="AB47" s="64"/>
      <c r="AC47" s="64"/>
      <c r="AD47" s="64"/>
      <c r="AE47" s="64"/>
      <c r="AF47" s="64"/>
      <c r="AG47" s="64"/>
      <c r="AH47" s="64"/>
      <c r="AI47" s="64"/>
      <c r="AJ47" s="64"/>
      <c r="AK47" s="64"/>
    </row>
    <row r="48" spans="1:37">
      <c r="A48" s="108">
        <f t="shared" si="2"/>
        <v>2060</v>
      </c>
      <c r="B48" s="149">
        <f>INDEX('Economic Assumptions'!$B$12:$CC$85,$L48,$B$4+B$6)+'Economic Assumptions'!B$9*'Selected Economics'!$P48</f>
        <v>186.15530512215645</v>
      </c>
      <c r="C48" s="149">
        <f>INDEX('Economic Assumptions'!$B$12:$CC$85,$L48,$B$4+C$6)+'Economic Assumptions'!C$9*'Selected Economics'!$P48</f>
        <v>232.69413140269555</v>
      </c>
      <c r="D48" s="149">
        <f>INDEX('Economic Assumptions'!$B$12:$CC$85,$L48,$B$4+D$6)+'Economic Assumptions'!D$9*'Selected Economics'!$P48</f>
        <v>7.3288823362548463</v>
      </c>
      <c r="E48" s="213">
        <f>INDEX('Economic Assumptions'!$B$12:$CC$85,$L48,$B$4+E$6)</f>
        <v>0.73</v>
      </c>
      <c r="F48" s="197">
        <f>INDEX('Economic Assumptions'!$B$12:$CC$85,$L48,$B$4+F$6)</f>
        <v>0.03</v>
      </c>
      <c r="G48" s="197">
        <f>INDEX('Economic Assumptions'!$B$12:$CC$85,$L48,$B$4+G$6)</f>
        <v>2.5000000000000001E-2</v>
      </c>
      <c r="H48" s="419">
        <f>IF($D$4=1,INDEX('Economic Assumptions'!$B$12:$CC$85,$L48,$B$4+H$6)/H$9,1)</f>
        <v>1</v>
      </c>
      <c r="I48" s="64"/>
      <c r="J48" s="214">
        <f t="shared" si="1"/>
        <v>2.9852266778427525</v>
      </c>
      <c r="K48" s="64"/>
      <c r="L48" s="108">
        <f t="shared" si="3"/>
        <v>41</v>
      </c>
      <c r="M48" s="64"/>
      <c r="N48" s="108">
        <f>'Economic Assumptions'!A49</f>
        <v>2057</v>
      </c>
      <c r="O48" s="108">
        <f>(1+INDEX('Economic Assumptions'!$B$12:$CC$85,L48,$B$4+F$6))*O47</f>
        <v>3.2158266099087589</v>
      </c>
      <c r="P48" s="472">
        <f>IF(N48&lt;=$B$5,1,(1+INDEX('Economic Assumptions'!$B$12:$CC$85,L48,$B$4+F$6))*P47)</f>
        <v>2.7319052955063365</v>
      </c>
      <c r="Q48" s="64"/>
      <c r="R48" s="64"/>
      <c r="S48" s="64"/>
      <c r="T48" s="64"/>
      <c r="U48" s="64"/>
      <c r="V48" s="64"/>
      <c r="W48" s="64"/>
      <c r="X48" s="64"/>
      <c r="Y48" s="64"/>
      <c r="Z48" s="64"/>
      <c r="AA48" s="64"/>
      <c r="AB48" s="64"/>
      <c r="AC48" s="64"/>
      <c r="AD48" s="64"/>
      <c r="AE48" s="64"/>
      <c r="AF48" s="64"/>
      <c r="AG48" s="64"/>
      <c r="AH48" s="64"/>
      <c r="AI48" s="64"/>
      <c r="AJ48" s="64"/>
      <c r="AK48" s="64"/>
    </row>
    <row r="49" spans="1:37">
      <c r="A49" s="108">
        <f t="shared" si="2"/>
        <v>2061</v>
      </c>
      <c r="B49" s="149">
        <f>INDEX('Economic Assumptions'!$B$12:$CC$85,$L49,$B$4+B$6)+'Economic Assumptions'!B$9*'Selected Economics'!$P49</f>
        <v>191.73996427582114</v>
      </c>
      <c r="C49" s="149">
        <f>INDEX('Economic Assumptions'!$B$12:$CC$85,$L49,$B$4+C$6)+'Economic Assumptions'!C$9*'Selected Economics'!$P49</f>
        <v>239.67495534477641</v>
      </c>
      <c r="D49" s="149">
        <f>INDEX('Economic Assumptions'!$B$12:$CC$85,$L49,$B$4+D$6)+'Economic Assumptions'!D$9*'Selected Economics'!$P49</f>
        <v>7.5487488063424912</v>
      </c>
      <c r="E49" s="213">
        <f>INDEX('Economic Assumptions'!$B$12:$CC$85,$L49,$B$4+E$6)</f>
        <v>0.73</v>
      </c>
      <c r="F49" s="197">
        <f>INDEX('Economic Assumptions'!$B$12:$CC$85,$L49,$B$4+F$6)</f>
        <v>0.03</v>
      </c>
      <c r="G49" s="197">
        <f>INDEX('Economic Assumptions'!$B$12:$CC$85,$L49,$B$4+G$6)</f>
        <v>2.5000000000000001E-2</v>
      </c>
      <c r="H49" s="419">
        <f>IF($D$4=1,INDEX('Economic Assumptions'!$B$12:$CC$85,$L49,$B$4+H$6)/H$9,1)</f>
        <v>1</v>
      </c>
      <c r="I49" s="64"/>
      <c r="J49" s="214">
        <f t="shared" si="1"/>
        <v>3.074783478178035</v>
      </c>
      <c r="K49" s="64"/>
      <c r="L49" s="108">
        <f t="shared" si="3"/>
        <v>42</v>
      </c>
      <c r="M49" s="64"/>
      <c r="N49" s="108">
        <f>'Economic Assumptions'!A50</f>
        <v>2058</v>
      </c>
      <c r="O49" s="108">
        <f>(1+INDEX('Economic Assumptions'!$B$12:$CC$85,L49,$B$4+F$6))*O48</f>
        <v>3.3123014082060216</v>
      </c>
      <c r="P49" s="472">
        <f>IF(N49&lt;=$B$5,1,(1+INDEX('Economic Assumptions'!$B$12:$CC$85,L49,$B$4+F$6))*P48)</f>
        <v>2.8138624543715265</v>
      </c>
      <c r="Q49" s="64"/>
      <c r="R49" s="64"/>
      <c r="S49" s="64"/>
      <c r="T49" s="64"/>
      <c r="U49" s="64"/>
      <c r="V49" s="64"/>
      <c r="W49" s="64"/>
      <c r="X49" s="64"/>
      <c r="Y49" s="64"/>
      <c r="Z49" s="64"/>
      <c r="AA49" s="64"/>
      <c r="AB49" s="64"/>
      <c r="AC49" s="64"/>
      <c r="AD49" s="64"/>
      <c r="AE49" s="64"/>
      <c r="AF49" s="64"/>
      <c r="AG49" s="64"/>
      <c r="AH49" s="64"/>
      <c r="AI49" s="64"/>
      <c r="AJ49" s="64"/>
      <c r="AK49" s="64"/>
    </row>
    <row r="50" spans="1:37">
      <c r="A50" s="110">
        <f t="shared" si="2"/>
        <v>2062</v>
      </c>
      <c r="B50" s="151">
        <f>INDEX('Economic Assumptions'!$B$12:$CC$85,$L50,$B$4+B$6)+'Economic Assumptions'!B$9*'Selected Economics'!$P50</f>
        <v>197.49216320409573</v>
      </c>
      <c r="C50" s="151">
        <f>INDEX('Economic Assumptions'!$B$12:$CC$85,$L50,$B$4+C$6)+'Economic Assumptions'!C$9*'Selected Economics'!$P50</f>
        <v>246.86520400511966</v>
      </c>
      <c r="D50" s="151">
        <f>INDEX('Economic Assumptions'!$B$12:$CC$85,$L50,$B$4+D$6)+'Economic Assumptions'!D$9*'Selected Economics'!$P50</f>
        <v>7.7752112705327665</v>
      </c>
      <c r="E50" s="215">
        <f>INDEX('Economic Assumptions'!$B$12:$CC$85,$L50,$B$4+E$6)</f>
        <v>0.73</v>
      </c>
      <c r="F50" s="199">
        <f>INDEX('Economic Assumptions'!$B$12:$CC$85,$L50,$B$4+F$6)</f>
        <v>0.03</v>
      </c>
      <c r="G50" s="199">
        <f>INDEX('Economic Assumptions'!$B$12:$CC$85,$L50,$B$4+G$6)</f>
        <v>2.5000000000000001E-2</v>
      </c>
      <c r="H50" s="420">
        <f>IF($D$4=1,INDEX('Economic Assumptions'!$B$12:$CC$85,$L50,$B$4+H$6)/H$9,1)</f>
        <v>1</v>
      </c>
      <c r="I50" s="64"/>
      <c r="J50" s="216">
        <f t="shared" si="1"/>
        <v>3.1670269825233763</v>
      </c>
      <c r="K50" s="64"/>
      <c r="L50" s="110">
        <f t="shared" si="3"/>
        <v>43</v>
      </c>
      <c r="M50" s="64"/>
      <c r="N50" s="108">
        <f>'Economic Assumptions'!A51</f>
        <v>2059</v>
      </c>
      <c r="O50" s="108">
        <f>(1+INDEX('Economic Assumptions'!$B$12:$CC$85,L50,$B$4+F$6))*O49</f>
        <v>3.4116704504522022</v>
      </c>
      <c r="P50" s="472">
        <f>IF(N50&lt;=$B$5,1,(1+INDEX('Economic Assumptions'!$B$12:$CC$85,L50,$B$4+F$6))*P49)</f>
        <v>2.8982783280026725</v>
      </c>
      <c r="Q50" s="64"/>
      <c r="R50" s="64"/>
      <c r="S50" s="64"/>
      <c r="T50" s="64"/>
      <c r="U50" s="64"/>
      <c r="V50" s="64"/>
      <c r="W50" s="64"/>
      <c r="X50" s="64"/>
      <c r="Y50" s="64"/>
      <c r="Z50" s="64"/>
      <c r="AA50" s="64"/>
      <c r="AB50" s="64"/>
      <c r="AC50" s="64"/>
      <c r="AD50" s="64"/>
      <c r="AE50" s="64"/>
      <c r="AF50" s="64"/>
      <c r="AG50" s="64"/>
      <c r="AH50" s="64"/>
      <c r="AI50" s="64"/>
      <c r="AJ50" s="64"/>
      <c r="AK50" s="64"/>
    </row>
    <row r="51" spans="1:37">
      <c r="A51" s="64"/>
      <c r="B51" s="64"/>
      <c r="C51" s="64"/>
      <c r="D51" s="64"/>
      <c r="E51" s="64"/>
      <c r="F51" s="64"/>
      <c r="G51" s="64"/>
      <c r="H51" s="64"/>
      <c r="I51" s="64"/>
      <c r="J51" s="64"/>
      <c r="K51" s="64"/>
      <c r="L51" s="64"/>
      <c r="M51" s="64"/>
      <c r="N51" s="108">
        <f>'Economic Assumptions'!A52</f>
        <v>2060</v>
      </c>
      <c r="O51" s="108">
        <f>(1+INDEX('Economic Assumptions'!$B$12:$CC$85,L51,$B$4+F$6))*O50</f>
        <v>3.5140205639657682</v>
      </c>
      <c r="P51" s="472">
        <f>IF(N51&lt;=$B$5,1,(1+INDEX('Economic Assumptions'!$B$12:$CC$85,L51,$B$4+F$6))*P50)</f>
        <v>2.9852266778427525</v>
      </c>
      <c r="Q51" s="64"/>
      <c r="R51" s="64"/>
      <c r="S51" s="64"/>
      <c r="T51" s="64"/>
      <c r="U51" s="64"/>
      <c r="V51" s="64"/>
      <c r="W51" s="64"/>
      <c r="X51" s="64"/>
      <c r="Y51" s="64"/>
      <c r="Z51" s="64"/>
      <c r="AA51" s="64"/>
      <c r="AB51" s="64"/>
      <c r="AC51" s="64"/>
      <c r="AD51" s="64"/>
      <c r="AE51" s="64"/>
      <c r="AF51" s="64"/>
      <c r="AG51" s="64"/>
      <c r="AH51" s="64"/>
      <c r="AI51" s="64"/>
      <c r="AJ51" s="64"/>
      <c r="AK51" s="64"/>
    </row>
    <row r="52" spans="1:37">
      <c r="A52" s="64"/>
      <c r="B52" s="64"/>
      <c r="C52" s="64"/>
      <c r="D52" s="64"/>
      <c r="E52" s="64"/>
      <c r="F52" s="64"/>
      <c r="G52" s="64"/>
      <c r="H52" s="64"/>
      <c r="I52" s="64"/>
      <c r="J52" s="64"/>
      <c r="K52" s="64"/>
      <c r="L52" s="64"/>
      <c r="M52" s="64"/>
      <c r="N52" s="108">
        <f>'Economic Assumptions'!A53</f>
        <v>2061</v>
      </c>
      <c r="O52" s="108">
        <f>(1+INDEX('Economic Assumptions'!$B$12:$CC$85,L52,$B$4+F$6))*O51</f>
        <v>3.6194411808847415</v>
      </c>
      <c r="P52" s="472">
        <f>IF(N52&lt;=$B$5,1,(1+INDEX('Economic Assumptions'!$B$12:$CC$85,L52,$B$4+F$6))*P51)</f>
        <v>3.074783478178035</v>
      </c>
      <c r="Q52" s="64"/>
      <c r="R52" s="64"/>
      <c r="S52" s="64"/>
      <c r="T52" s="64"/>
      <c r="U52" s="64"/>
      <c r="V52" s="64"/>
      <c r="W52" s="64"/>
      <c r="X52" s="64"/>
      <c r="Y52" s="64"/>
      <c r="Z52" s="64"/>
      <c r="AA52" s="64"/>
      <c r="AB52" s="64"/>
      <c r="AC52" s="64"/>
      <c r="AD52" s="64"/>
      <c r="AE52" s="64"/>
      <c r="AF52" s="64"/>
      <c r="AG52" s="64"/>
      <c r="AH52" s="64"/>
      <c r="AI52" s="64"/>
      <c r="AJ52" s="64"/>
      <c r="AK52" s="64"/>
    </row>
    <row r="53" spans="1:37">
      <c r="A53" s="64"/>
      <c r="B53" s="64"/>
      <c r="C53" s="64"/>
      <c r="D53" s="64"/>
      <c r="E53" s="64"/>
      <c r="F53" s="64"/>
      <c r="G53" s="64"/>
      <c r="H53" s="64"/>
      <c r="I53" s="64"/>
      <c r="J53" s="64"/>
      <c r="K53" s="64"/>
      <c r="L53" s="64"/>
      <c r="M53" s="64"/>
      <c r="N53" s="108">
        <f>'Economic Assumptions'!A54</f>
        <v>2062</v>
      </c>
      <c r="O53" s="108">
        <f>(1+INDEX('Economic Assumptions'!$B$12:$CC$85,L53,$B$4+F$6))*O52</f>
        <v>3.7280244163112837</v>
      </c>
      <c r="P53" s="472">
        <f>IF(N53&lt;=$B$5,1,(1+INDEX('Economic Assumptions'!$B$12:$CC$85,L53,$B$4+F$6))*P52)</f>
        <v>3.1670269825233763</v>
      </c>
      <c r="Q53" s="64"/>
      <c r="R53" s="64"/>
      <c r="S53" s="64"/>
      <c r="T53" s="64"/>
      <c r="U53" s="64"/>
      <c r="V53" s="64"/>
      <c r="W53" s="64"/>
      <c r="X53" s="64"/>
      <c r="Y53" s="64"/>
      <c r="Z53" s="64"/>
      <c r="AA53" s="64"/>
      <c r="AB53" s="64"/>
      <c r="AC53" s="64"/>
      <c r="AD53" s="64"/>
      <c r="AE53" s="64"/>
      <c r="AF53" s="64"/>
      <c r="AG53" s="64"/>
      <c r="AH53" s="64"/>
      <c r="AI53" s="64"/>
      <c r="AJ53" s="64"/>
      <c r="AK53" s="64"/>
    </row>
    <row r="54" spans="1:37">
      <c r="A54" s="64"/>
      <c r="B54" s="64"/>
      <c r="C54" s="64"/>
      <c r="D54" s="64"/>
      <c r="E54" s="64"/>
      <c r="F54" s="64"/>
      <c r="G54" s="64"/>
      <c r="H54" s="64"/>
      <c r="I54" s="64"/>
      <c r="J54" s="64"/>
      <c r="K54" s="64"/>
      <c r="L54" s="64"/>
      <c r="M54" s="64"/>
      <c r="N54" s="108">
        <f>'Economic Assumptions'!A55</f>
        <v>2063</v>
      </c>
      <c r="O54" s="108">
        <f>(1+INDEX('Economic Assumptions'!$B$12:$CC$85,L54,$B$4+F$6))*O53</f>
        <v>3.8398651488006221</v>
      </c>
      <c r="P54" s="472">
        <f>IF(N54&lt;=$B$5,1,(1+INDEX('Economic Assumptions'!$B$12:$CC$85,L54,$B$4+F$6))*P53)</f>
        <v>3.2620377919990777</v>
      </c>
      <c r="Q54" s="64"/>
      <c r="R54" s="64"/>
      <c r="S54" s="64"/>
      <c r="T54" s="64"/>
      <c r="U54" s="64"/>
      <c r="V54" s="64"/>
      <c r="W54" s="64"/>
      <c r="X54" s="64"/>
      <c r="Y54" s="64"/>
      <c r="Z54" s="64"/>
      <c r="AA54" s="64"/>
      <c r="AB54" s="64"/>
      <c r="AC54" s="64"/>
      <c r="AD54" s="64"/>
      <c r="AE54" s="64"/>
      <c r="AF54" s="64"/>
      <c r="AG54" s="64"/>
      <c r="AH54" s="64"/>
      <c r="AI54" s="64"/>
      <c r="AJ54" s="64"/>
      <c r="AK54" s="64"/>
    </row>
    <row r="55" spans="1:37">
      <c r="A55" s="64"/>
      <c r="B55" s="64"/>
      <c r="C55" s="64"/>
      <c r="D55" s="64"/>
      <c r="E55" s="64"/>
      <c r="F55" s="64"/>
      <c r="G55" s="64"/>
      <c r="H55" s="64"/>
      <c r="I55" s="64"/>
      <c r="J55" s="64"/>
      <c r="K55" s="64"/>
      <c r="L55" s="64"/>
      <c r="M55" s="64"/>
      <c r="N55" s="108">
        <f>'Economic Assumptions'!A56</f>
        <v>2064</v>
      </c>
      <c r="O55" s="108">
        <f>(1+INDEX('Economic Assumptions'!$B$12:$CC$85,L55,$B$4+F$6))*O54</f>
        <v>3.955061103264641</v>
      </c>
      <c r="P55" s="472">
        <f>IF(N55&lt;=$B$5,1,(1+INDEX('Economic Assumptions'!$B$12:$CC$85,L55,$B$4+F$6))*P54)</f>
        <v>3.3598989257590501</v>
      </c>
      <c r="Q55" s="64"/>
      <c r="R55" s="64"/>
      <c r="S55" s="64"/>
      <c r="T55" s="64"/>
      <c r="U55" s="64"/>
      <c r="V55" s="64"/>
      <c r="W55" s="64"/>
      <c r="X55" s="64"/>
      <c r="Y55" s="64"/>
      <c r="Z55" s="64"/>
      <c r="AA55" s="64"/>
      <c r="AB55" s="64"/>
      <c r="AC55" s="64"/>
      <c r="AD55" s="64"/>
      <c r="AE55" s="64"/>
      <c r="AF55" s="64"/>
      <c r="AG55" s="64"/>
      <c r="AH55" s="64"/>
      <c r="AI55" s="64"/>
      <c r="AJ55" s="64"/>
      <c r="AK55" s="64"/>
    </row>
    <row r="56" spans="1:37">
      <c r="A56" s="64"/>
      <c r="B56" s="64"/>
      <c r="C56" s="64"/>
      <c r="D56" s="64"/>
      <c r="E56" s="64"/>
      <c r="F56" s="64"/>
      <c r="G56" s="64"/>
      <c r="H56" s="64"/>
      <c r="I56" s="64"/>
      <c r="J56" s="64"/>
      <c r="K56" s="64"/>
      <c r="L56" s="64"/>
      <c r="M56" s="64"/>
      <c r="N56" s="108">
        <f>'Economic Assumptions'!A57</f>
        <v>2065</v>
      </c>
      <c r="O56" s="108">
        <f>(1+INDEX('Economic Assumptions'!$B$12:$CC$85,L56,$B$4+F$6))*O55</f>
        <v>4.0737129363625799</v>
      </c>
      <c r="P56" s="472">
        <f>IF(N56&lt;=$B$5,1,(1+INDEX('Economic Assumptions'!$B$12:$CC$85,L56,$B$4+F$6))*P55)</f>
        <v>3.4606958935318217</v>
      </c>
      <c r="Q56" s="64"/>
      <c r="R56" s="64"/>
      <c r="S56" s="64"/>
      <c r="T56" s="64"/>
      <c r="U56" s="64"/>
      <c r="V56" s="64"/>
      <c r="W56" s="64"/>
      <c r="X56" s="64"/>
      <c r="Y56" s="64"/>
      <c r="Z56" s="64"/>
      <c r="AA56" s="64"/>
      <c r="AB56" s="64"/>
      <c r="AC56" s="64"/>
      <c r="AD56" s="64"/>
      <c r="AE56" s="64"/>
      <c r="AF56" s="64"/>
      <c r="AG56" s="64"/>
      <c r="AH56" s="64"/>
      <c r="AI56" s="64"/>
      <c r="AJ56" s="64"/>
      <c r="AK56" s="64"/>
    </row>
    <row r="57" spans="1:37">
      <c r="A57" s="64"/>
      <c r="B57" s="64"/>
      <c r="C57" s="64"/>
      <c r="D57" s="64"/>
      <c r="E57" s="64"/>
      <c r="F57" s="64"/>
      <c r="G57" s="64"/>
      <c r="H57" s="64"/>
      <c r="I57" s="64"/>
      <c r="J57" s="64"/>
      <c r="K57" s="64"/>
      <c r="L57" s="64"/>
      <c r="M57" s="64"/>
      <c r="N57" s="108">
        <f>'Economic Assumptions'!A58</f>
        <v>2066</v>
      </c>
      <c r="O57" s="108">
        <f>(1+INDEX('Economic Assumptions'!$B$12:$CC$85,L57,$B$4+F$6))*O56</f>
        <v>4.1959243244534576</v>
      </c>
      <c r="P57" s="472">
        <f>IF(N57&lt;=$B$5,1,(1+INDEX('Economic Assumptions'!$B$12:$CC$85,L57,$B$4+F$6))*P56)</f>
        <v>3.5645167703377765</v>
      </c>
      <c r="Q57" s="64"/>
      <c r="R57" s="64"/>
      <c r="S57" s="64"/>
      <c r="T57" s="64"/>
      <c r="U57" s="64"/>
      <c r="V57" s="64"/>
      <c r="W57" s="64"/>
      <c r="X57" s="64"/>
      <c r="Y57" s="64"/>
      <c r="Z57" s="64"/>
      <c r="AA57" s="64"/>
      <c r="AB57" s="64"/>
      <c r="AC57" s="64"/>
      <c r="AD57" s="64"/>
      <c r="AE57" s="64"/>
      <c r="AF57" s="64"/>
      <c r="AG57" s="64"/>
      <c r="AH57" s="64"/>
      <c r="AI57" s="64"/>
      <c r="AJ57" s="64"/>
      <c r="AK57" s="64"/>
    </row>
    <row r="58" spans="1:37">
      <c r="A58" s="64"/>
      <c r="B58" s="64"/>
      <c r="C58" s="64"/>
      <c r="D58" s="64"/>
      <c r="E58" s="64"/>
      <c r="F58" s="64"/>
      <c r="G58" s="64"/>
      <c r="H58" s="64"/>
      <c r="I58" s="64"/>
      <c r="J58" s="64"/>
      <c r="K58" s="64"/>
      <c r="L58" s="64"/>
      <c r="M58" s="64"/>
      <c r="N58" s="108">
        <f>'Economic Assumptions'!A59</f>
        <v>2067</v>
      </c>
      <c r="O58" s="108">
        <f>(1+INDEX('Economic Assumptions'!$B$12:$CC$85,L58,$B$4+F$6))*O57</f>
        <v>4.3218020541870619</v>
      </c>
      <c r="P58" s="472">
        <f>IF(N58&lt;=$B$5,1,(1+INDEX('Economic Assumptions'!$B$12:$CC$85,L58,$B$4+F$6))*P57)</f>
        <v>3.67145227344791</v>
      </c>
      <c r="Q58" s="64"/>
      <c r="R58" s="64"/>
      <c r="S58" s="64"/>
      <c r="T58" s="64"/>
      <c r="U58" s="64"/>
      <c r="V58" s="64"/>
      <c r="W58" s="64"/>
      <c r="X58" s="64"/>
      <c r="Y58" s="64"/>
      <c r="Z58" s="64"/>
      <c r="AA58" s="64"/>
      <c r="AB58" s="64"/>
      <c r="AC58" s="64"/>
      <c r="AD58" s="64"/>
      <c r="AE58" s="64"/>
      <c r="AF58" s="64"/>
      <c r="AG58" s="64"/>
      <c r="AH58" s="64"/>
      <c r="AI58" s="64"/>
      <c r="AJ58" s="64"/>
      <c r="AK58" s="64"/>
    </row>
    <row r="59" spans="1:37">
      <c r="A59" s="64"/>
      <c r="B59" s="64"/>
      <c r="C59" s="64"/>
      <c r="D59" s="64"/>
      <c r="E59" s="64"/>
      <c r="F59" s="64"/>
      <c r="G59" s="64"/>
      <c r="H59" s="64"/>
      <c r="I59" s="64"/>
      <c r="J59" s="64"/>
      <c r="K59" s="64"/>
      <c r="L59" s="64"/>
      <c r="M59" s="64"/>
      <c r="N59" s="108">
        <f>'Economic Assumptions'!A60</f>
        <v>2068</v>
      </c>
      <c r="O59" s="108">
        <f>(1+INDEX('Economic Assumptions'!$B$12:$CC$85,L59,$B$4+F$6))*O58</f>
        <v>4.4514561158126735</v>
      </c>
      <c r="P59" s="472">
        <f>IF(N59&lt;=$B$5,1,(1+INDEX('Economic Assumptions'!$B$12:$CC$85,L59,$B$4+F$6))*P58)</f>
        <v>3.7815958416513475</v>
      </c>
      <c r="Q59" s="64"/>
      <c r="R59" s="64"/>
      <c r="S59" s="64"/>
      <c r="T59" s="64"/>
      <c r="U59" s="64"/>
      <c r="V59" s="64"/>
      <c r="W59" s="64"/>
      <c r="X59" s="64"/>
      <c r="Y59" s="64"/>
      <c r="Z59" s="64"/>
      <c r="AA59" s="64"/>
      <c r="AB59" s="64"/>
      <c r="AC59" s="64"/>
      <c r="AD59" s="64"/>
      <c r="AE59" s="64"/>
      <c r="AF59" s="64"/>
      <c r="AG59" s="64"/>
      <c r="AH59" s="64"/>
      <c r="AI59" s="64"/>
      <c r="AJ59" s="64"/>
      <c r="AK59" s="64"/>
    </row>
    <row r="60" spans="1:37">
      <c r="A60" s="64"/>
      <c r="B60" s="64"/>
      <c r="C60" s="64"/>
      <c r="D60" s="64"/>
      <c r="E60" s="64"/>
      <c r="F60" s="64"/>
      <c r="G60" s="64"/>
      <c r="H60" s="64"/>
      <c r="I60" s="64"/>
      <c r="J60" s="64"/>
      <c r="K60" s="64"/>
      <c r="L60" s="64"/>
      <c r="M60" s="64"/>
      <c r="N60" s="108">
        <f>'Economic Assumptions'!A61</f>
        <v>2069</v>
      </c>
      <c r="O60" s="108">
        <f>(1+INDEX('Economic Assumptions'!$B$12:$CC$85,L60,$B$4+F$6))*O59</f>
        <v>4.5849997992870541</v>
      </c>
      <c r="P60" s="472">
        <f>IF(N60&lt;=$B$5,1,(1+INDEX('Economic Assumptions'!$B$12:$CC$85,L60,$B$4+F$6))*P59)</f>
        <v>3.8950437169008882</v>
      </c>
      <c r="Q60" s="64"/>
      <c r="R60" s="64"/>
      <c r="S60" s="64"/>
      <c r="T60" s="64"/>
      <c r="U60" s="64"/>
      <c r="V60" s="64"/>
      <c r="W60" s="64"/>
      <c r="X60" s="64"/>
      <c r="Y60" s="64"/>
      <c r="Z60" s="64"/>
      <c r="AA60" s="64"/>
      <c r="AB60" s="64"/>
      <c r="AC60" s="64"/>
      <c r="AD60" s="64"/>
      <c r="AE60" s="64"/>
      <c r="AF60" s="64"/>
      <c r="AG60" s="64"/>
      <c r="AH60" s="64"/>
      <c r="AI60" s="64"/>
      <c r="AJ60" s="64"/>
      <c r="AK60" s="64"/>
    </row>
    <row r="61" spans="1:37">
      <c r="A61" s="64"/>
      <c r="B61" s="64"/>
      <c r="C61" s="64"/>
      <c r="D61" s="64"/>
      <c r="E61" s="64"/>
      <c r="F61" s="64"/>
      <c r="G61" s="64"/>
      <c r="H61" s="64"/>
      <c r="I61" s="64"/>
      <c r="J61" s="64"/>
      <c r="K61" s="64"/>
      <c r="L61" s="64"/>
      <c r="M61" s="64"/>
      <c r="N61" s="108">
        <f>'Economic Assumptions'!A62</f>
        <v>2070</v>
      </c>
      <c r="O61" s="108">
        <f>(1+INDEX('Economic Assumptions'!$B$12:$CC$85,L61,$B$4+F$6))*O60</f>
        <v>4.7225497932656655</v>
      </c>
      <c r="P61" s="472">
        <f>IF(N61&lt;=$B$5,1,(1+INDEX('Economic Assumptions'!$B$12:$CC$85,L61,$B$4+F$6))*P60)</f>
        <v>4.0118950284079151</v>
      </c>
      <c r="Q61" s="64"/>
      <c r="R61" s="64"/>
      <c r="S61" s="64"/>
      <c r="T61" s="64"/>
      <c r="U61" s="64"/>
      <c r="V61" s="64"/>
      <c r="W61" s="64"/>
      <c r="X61" s="64"/>
      <c r="Y61" s="64"/>
      <c r="Z61" s="64"/>
      <c r="AA61" s="64"/>
      <c r="AB61" s="64"/>
      <c r="AC61" s="64"/>
      <c r="AD61" s="64"/>
      <c r="AE61" s="64"/>
      <c r="AF61" s="64"/>
      <c r="AG61" s="64"/>
      <c r="AH61" s="64"/>
      <c r="AI61" s="64"/>
      <c r="AJ61" s="64"/>
      <c r="AK61" s="64"/>
    </row>
    <row r="62" spans="1:37">
      <c r="A62" s="64"/>
      <c r="B62" s="64"/>
      <c r="C62" s="64"/>
      <c r="D62" s="64"/>
      <c r="E62" s="64"/>
      <c r="F62" s="64"/>
      <c r="G62" s="64"/>
      <c r="H62" s="64"/>
      <c r="I62" s="64"/>
      <c r="J62" s="64"/>
      <c r="K62" s="64"/>
      <c r="L62" s="64"/>
      <c r="M62" s="64"/>
      <c r="N62" s="108">
        <f>'Economic Assumptions'!A63</f>
        <v>2071</v>
      </c>
      <c r="O62" s="108">
        <f>(1+INDEX('Economic Assumptions'!$B$12:$CC$85,L62,$B$4+F$6))*O61</f>
        <v>4.8642262870636355</v>
      </c>
      <c r="P62" s="472">
        <f>IF(N62&lt;=$B$5,1,(1+INDEX('Economic Assumptions'!$B$12:$CC$85,L62,$B$4+F$6))*P61)</f>
        <v>4.1322518792601528</v>
      </c>
      <c r="Q62" s="64"/>
      <c r="R62" s="64"/>
      <c r="S62" s="64"/>
      <c r="T62" s="64"/>
      <c r="U62" s="64"/>
      <c r="V62" s="64"/>
      <c r="W62" s="64"/>
      <c r="X62" s="64"/>
      <c r="Y62" s="64"/>
      <c r="Z62" s="64"/>
      <c r="AA62" s="64"/>
      <c r="AB62" s="64"/>
      <c r="AC62" s="64"/>
      <c r="AD62" s="64"/>
      <c r="AE62" s="64"/>
      <c r="AF62" s="64"/>
      <c r="AG62" s="64"/>
      <c r="AH62" s="64"/>
      <c r="AI62" s="64"/>
      <c r="AJ62" s="64"/>
      <c r="AK62" s="64"/>
    </row>
    <row r="63" spans="1:37">
      <c r="A63" s="64"/>
      <c r="B63" s="64"/>
      <c r="C63" s="64"/>
      <c r="D63" s="64"/>
      <c r="E63" s="64"/>
      <c r="F63" s="64"/>
      <c r="G63" s="64"/>
      <c r="H63" s="64"/>
      <c r="I63" s="64"/>
      <c r="J63" s="64"/>
      <c r="K63" s="64"/>
      <c r="L63" s="64"/>
      <c r="M63" s="64"/>
      <c r="N63" s="108">
        <f>'Economic Assumptions'!A64</f>
        <v>2072</v>
      </c>
      <c r="O63" s="108">
        <f>(1+INDEX('Economic Assumptions'!$B$12:$CC$85,L63,$B$4+F$6))*O62</f>
        <v>5.0101530756755448</v>
      </c>
      <c r="P63" s="472">
        <f>IF(N63&lt;=$B$5,1,(1+INDEX('Economic Assumptions'!$B$12:$CC$85,L63,$B$4+F$6))*P62)</f>
        <v>4.2562194356379575</v>
      </c>
      <c r="Q63" s="64"/>
      <c r="R63" s="64"/>
      <c r="S63" s="64"/>
      <c r="T63" s="64"/>
      <c r="U63" s="64"/>
      <c r="V63" s="64"/>
      <c r="W63" s="64"/>
      <c r="X63" s="64"/>
      <c r="Y63" s="64"/>
      <c r="Z63" s="64"/>
      <c r="AA63" s="64"/>
      <c r="AB63" s="64"/>
      <c r="AC63" s="64"/>
      <c r="AD63" s="64"/>
      <c r="AE63" s="64"/>
      <c r="AF63" s="64"/>
      <c r="AG63" s="64"/>
      <c r="AH63" s="64"/>
      <c r="AI63" s="64"/>
      <c r="AJ63" s="64"/>
      <c r="AK63" s="64"/>
    </row>
    <row r="64" spans="1:37">
      <c r="A64" s="64"/>
      <c r="B64" s="64"/>
      <c r="C64" s="64"/>
      <c r="D64" s="64"/>
      <c r="E64" s="64"/>
      <c r="F64" s="64"/>
      <c r="G64" s="64"/>
      <c r="H64" s="64"/>
      <c r="I64" s="64"/>
      <c r="J64" s="64"/>
      <c r="K64" s="64"/>
      <c r="L64" s="64"/>
      <c r="M64" s="64"/>
      <c r="N64" s="108">
        <f>'Economic Assumptions'!A65</f>
        <v>2073</v>
      </c>
      <c r="O64" s="108">
        <f>(1+INDEX('Economic Assumptions'!$B$12:$CC$85,L64,$B$4+F$6))*O63</f>
        <v>5.1604576679458116</v>
      </c>
      <c r="P64" s="472">
        <f>IF(N64&lt;=$B$5,1,(1+INDEX('Economic Assumptions'!$B$12:$CC$85,L64,$B$4+F$6))*P63)</f>
        <v>4.383906018707096</v>
      </c>
      <c r="Q64" s="64"/>
      <c r="R64" s="64"/>
      <c r="S64" s="64"/>
      <c r="T64" s="64"/>
      <c r="U64" s="64"/>
      <c r="V64" s="64"/>
      <c r="W64" s="64"/>
      <c r="X64" s="64"/>
      <c r="Y64" s="64"/>
      <c r="Z64" s="64"/>
      <c r="AA64" s="64"/>
      <c r="AB64" s="64"/>
      <c r="AC64" s="64"/>
      <c r="AD64" s="64"/>
      <c r="AE64" s="64"/>
      <c r="AF64" s="64"/>
      <c r="AG64" s="64"/>
      <c r="AH64" s="64"/>
      <c r="AI64" s="64"/>
      <c r="AJ64" s="64"/>
      <c r="AK64" s="64"/>
    </row>
    <row r="65" spans="1:37">
      <c r="A65" s="64"/>
      <c r="B65" s="64"/>
      <c r="C65" s="64"/>
      <c r="D65" s="64"/>
      <c r="E65" s="64"/>
      <c r="F65" s="64"/>
      <c r="G65" s="64"/>
      <c r="H65" s="64"/>
      <c r="I65" s="64"/>
      <c r="J65" s="64"/>
      <c r="K65" s="64"/>
      <c r="L65" s="64"/>
      <c r="M65" s="64"/>
      <c r="N65" s="108">
        <f>'Economic Assumptions'!A66</f>
        <v>2074</v>
      </c>
      <c r="O65" s="108">
        <f>(1+INDEX('Economic Assumptions'!$B$12:$CC$85,L65,$B$4+F$6))*O64</f>
        <v>5.3152713979841861</v>
      </c>
      <c r="P65" s="472">
        <f>IF(N65&lt;=$B$5,1,(1+INDEX('Economic Assumptions'!$B$12:$CC$85,L65,$B$4+F$6))*P64)</f>
        <v>4.5154231992683087</v>
      </c>
      <c r="Q65" s="64"/>
      <c r="R65" s="64"/>
      <c r="S65" s="64"/>
      <c r="T65" s="64"/>
      <c r="U65" s="64"/>
      <c r="V65" s="64"/>
      <c r="W65" s="64"/>
      <c r="X65" s="64"/>
      <c r="Y65" s="64"/>
      <c r="Z65" s="64"/>
      <c r="AA65" s="64"/>
      <c r="AB65" s="64"/>
      <c r="AC65" s="64"/>
      <c r="AD65" s="64"/>
      <c r="AE65" s="64"/>
      <c r="AF65" s="64"/>
      <c r="AG65" s="64"/>
      <c r="AH65" s="64"/>
      <c r="AI65" s="64"/>
      <c r="AJ65" s="64"/>
      <c r="AK65" s="64"/>
    </row>
    <row r="66" spans="1:37">
      <c r="A66" s="64"/>
      <c r="B66" s="64"/>
      <c r="C66" s="64"/>
      <c r="D66" s="64"/>
      <c r="E66" s="64"/>
      <c r="F66" s="64"/>
      <c r="G66" s="64"/>
      <c r="H66" s="64"/>
      <c r="I66" s="64"/>
      <c r="J66" s="64"/>
      <c r="K66" s="64"/>
      <c r="L66" s="64"/>
      <c r="M66" s="64"/>
      <c r="N66" s="108">
        <f>'Economic Assumptions'!A67</f>
        <v>2075</v>
      </c>
      <c r="O66" s="108">
        <f>(1+INDEX('Economic Assumptions'!$B$12:$CC$85,L66,$B$4+F$6))*O65</f>
        <v>5.4747295399237119</v>
      </c>
      <c r="P66" s="472">
        <f>IF(N66&lt;=$B$5,1,(1+INDEX('Economic Assumptions'!$B$12:$CC$85,L66,$B$4+F$6))*P65)</f>
        <v>4.6508858952463576</v>
      </c>
      <c r="Q66" s="64"/>
      <c r="R66" s="64"/>
      <c r="S66" s="64"/>
      <c r="T66" s="64"/>
      <c r="U66" s="64"/>
      <c r="V66" s="64"/>
      <c r="W66" s="64"/>
      <c r="X66" s="64"/>
      <c r="Y66" s="64"/>
      <c r="Z66" s="64"/>
      <c r="AA66" s="64"/>
      <c r="AB66" s="64"/>
      <c r="AC66" s="64"/>
      <c r="AD66" s="64"/>
      <c r="AE66" s="64"/>
      <c r="AF66" s="64"/>
      <c r="AG66" s="64"/>
      <c r="AH66" s="64"/>
      <c r="AI66" s="64"/>
      <c r="AJ66" s="64"/>
      <c r="AK66" s="64"/>
    </row>
    <row r="67" spans="1:37">
      <c r="A67" s="64"/>
      <c r="B67" s="64"/>
      <c r="C67" s="64"/>
      <c r="D67" s="64"/>
      <c r="E67" s="64"/>
      <c r="F67" s="64"/>
      <c r="G67" s="64"/>
      <c r="H67" s="64"/>
      <c r="I67" s="64"/>
      <c r="J67" s="64"/>
      <c r="K67" s="64"/>
      <c r="L67" s="64"/>
      <c r="M67" s="64"/>
      <c r="N67" s="108">
        <f>'Economic Assumptions'!A68</f>
        <v>2076</v>
      </c>
      <c r="O67" s="108">
        <f>(1+INDEX('Economic Assumptions'!$B$12:$CC$85,L67,$B$4+F$6))*O66</f>
        <v>5.6389714261214232</v>
      </c>
      <c r="P67" s="472">
        <f>IF(N67&lt;=$B$5,1,(1+INDEX('Economic Assumptions'!$B$12:$CC$85,L67,$B$4+F$6))*P66)</f>
        <v>4.7904124721037489</v>
      </c>
      <c r="Q67" s="64"/>
      <c r="R67" s="64"/>
      <c r="S67" s="64"/>
      <c r="T67" s="64"/>
      <c r="U67" s="64"/>
      <c r="V67" s="64"/>
      <c r="W67" s="64"/>
      <c r="X67" s="64"/>
      <c r="Y67" s="64"/>
      <c r="Z67" s="64"/>
      <c r="AA67" s="64"/>
      <c r="AB67" s="64"/>
      <c r="AC67" s="64"/>
      <c r="AD67" s="64"/>
      <c r="AE67" s="64"/>
      <c r="AF67" s="64"/>
      <c r="AG67" s="64"/>
      <c r="AH67" s="64"/>
      <c r="AI67" s="64"/>
      <c r="AJ67" s="64"/>
      <c r="AK67" s="64"/>
    </row>
    <row r="68" spans="1:37">
      <c r="A68" s="64"/>
      <c r="B68" s="64"/>
      <c r="C68" s="64"/>
      <c r="D68" s="64"/>
      <c r="E68" s="64"/>
      <c r="F68" s="64"/>
      <c r="G68" s="64"/>
      <c r="H68" s="64"/>
      <c r="I68" s="64"/>
      <c r="J68" s="64"/>
      <c r="K68" s="64"/>
      <c r="L68" s="64"/>
      <c r="M68" s="64"/>
      <c r="N68" s="108">
        <f>'Economic Assumptions'!A69</f>
        <v>2077</v>
      </c>
      <c r="O68" s="108">
        <f>(1+INDEX('Economic Assumptions'!$B$12:$CC$85,L68,$B$4+F$6))*O67</f>
        <v>5.808140568905066</v>
      </c>
      <c r="P68" s="472">
        <f>IF(N68&lt;=$B$5,1,(1+INDEX('Economic Assumptions'!$B$12:$CC$85,L68,$B$4+F$6))*P67)</f>
        <v>4.9341248462668617</v>
      </c>
      <c r="Q68" s="64"/>
      <c r="R68" s="64"/>
      <c r="S68" s="64"/>
      <c r="T68" s="64"/>
      <c r="U68" s="64"/>
      <c r="V68" s="64"/>
      <c r="W68" s="64"/>
      <c r="X68" s="64"/>
      <c r="Y68" s="64"/>
      <c r="Z68" s="64"/>
      <c r="AA68" s="64"/>
      <c r="AB68" s="64"/>
      <c r="AC68" s="64"/>
      <c r="AD68" s="64"/>
      <c r="AE68" s="64"/>
      <c r="AF68" s="64"/>
      <c r="AG68" s="64"/>
      <c r="AH68" s="64"/>
      <c r="AI68" s="64"/>
      <c r="AJ68" s="64"/>
      <c r="AK68" s="64"/>
    </row>
    <row r="69" spans="1:37">
      <c r="A69" s="64"/>
      <c r="B69" s="64"/>
      <c r="C69" s="64"/>
      <c r="D69" s="64"/>
      <c r="E69" s="64"/>
      <c r="F69" s="64"/>
      <c r="G69" s="64"/>
      <c r="H69" s="64"/>
      <c r="I69" s="64"/>
      <c r="J69" s="64"/>
      <c r="K69" s="64"/>
      <c r="L69" s="64"/>
      <c r="M69" s="64"/>
      <c r="N69" s="108">
        <f>'Economic Assumptions'!A70</f>
        <v>2078</v>
      </c>
      <c r="O69" s="108">
        <f>(1+INDEX('Economic Assumptions'!$B$12:$CC$85,L69,$B$4+F$6))*O68</f>
        <v>5.9823847859722186</v>
      </c>
      <c r="P69" s="472">
        <f>IF(N69&lt;=$B$5,1,(1+INDEX('Economic Assumptions'!$B$12:$CC$85,L69,$B$4+F$6))*P68)</f>
        <v>5.0821485916548674</v>
      </c>
      <c r="Q69" s="64"/>
      <c r="R69" s="64"/>
      <c r="S69" s="64"/>
      <c r="T69" s="64"/>
      <c r="U69" s="64"/>
      <c r="V69" s="64"/>
      <c r="W69" s="64"/>
      <c r="X69" s="64"/>
      <c r="Y69" s="64"/>
      <c r="Z69" s="64"/>
      <c r="AA69" s="64"/>
      <c r="AB69" s="64"/>
      <c r="AC69" s="64"/>
      <c r="AD69" s="64"/>
      <c r="AE69" s="64"/>
      <c r="AF69" s="64"/>
      <c r="AG69" s="64"/>
      <c r="AH69" s="64"/>
      <c r="AI69" s="64"/>
      <c r="AJ69" s="64"/>
      <c r="AK69" s="64"/>
    </row>
    <row r="70" spans="1:37">
      <c r="A70" s="64"/>
      <c r="B70" s="64"/>
      <c r="C70" s="64"/>
      <c r="D70" s="64"/>
      <c r="E70" s="64"/>
      <c r="F70" s="64"/>
      <c r="G70" s="64"/>
      <c r="H70" s="64"/>
      <c r="I70" s="64"/>
      <c r="J70" s="64"/>
      <c r="K70" s="64"/>
      <c r="L70" s="64"/>
      <c r="M70" s="64"/>
      <c r="N70" s="108">
        <f>'Economic Assumptions'!A71</f>
        <v>2079</v>
      </c>
      <c r="O70" s="108">
        <f>(1+INDEX('Economic Assumptions'!$B$12:$CC$85,L70,$B$4+F$6))*O69</f>
        <v>6.1618563295513855</v>
      </c>
      <c r="P70" s="472">
        <f>IF(N70&lt;=$B$5,1,(1+INDEX('Economic Assumptions'!$B$12:$CC$85,L70,$B$4+F$6))*P69)</f>
        <v>5.2346130494045138</v>
      </c>
      <c r="Q70" s="64"/>
      <c r="R70" s="64"/>
      <c r="S70" s="64"/>
      <c r="T70" s="64"/>
      <c r="U70" s="64"/>
      <c r="V70" s="64"/>
      <c r="W70" s="64"/>
      <c r="X70" s="64"/>
      <c r="Y70" s="64"/>
      <c r="Z70" s="64"/>
      <c r="AA70" s="64"/>
      <c r="AB70" s="64"/>
      <c r="AC70" s="64"/>
      <c r="AD70" s="64"/>
      <c r="AE70" s="64"/>
      <c r="AF70" s="64"/>
      <c r="AG70" s="64"/>
      <c r="AH70" s="64"/>
      <c r="AI70" s="64"/>
      <c r="AJ70" s="64"/>
      <c r="AK70" s="64"/>
    </row>
    <row r="71" spans="1:37">
      <c r="A71" s="64"/>
      <c r="B71" s="64"/>
      <c r="C71" s="64"/>
      <c r="D71" s="64"/>
      <c r="E71" s="64"/>
      <c r="F71" s="64"/>
      <c r="G71" s="64"/>
      <c r="H71" s="64"/>
      <c r="I71" s="64"/>
      <c r="J71" s="64"/>
      <c r="K71" s="64"/>
      <c r="L71" s="64"/>
      <c r="M71" s="64"/>
      <c r="N71" s="108">
        <f>'Economic Assumptions'!A72</f>
        <v>2080</v>
      </c>
      <c r="O71" s="108">
        <f>(1+INDEX('Economic Assumptions'!$B$12:$CC$85,L71,$B$4+F$6))*O70</f>
        <v>6.346712019437927</v>
      </c>
      <c r="P71" s="472">
        <f>IF(N71&lt;=$B$5,1,(1+INDEX('Economic Assumptions'!$B$12:$CC$85,L71,$B$4+F$6))*P70)</f>
        <v>5.3916514408866494</v>
      </c>
      <c r="Q71" s="64"/>
      <c r="R71" s="64"/>
      <c r="S71" s="64"/>
      <c r="T71" s="64"/>
      <c r="U71" s="64"/>
      <c r="V71" s="64"/>
      <c r="W71" s="64"/>
      <c r="X71" s="64"/>
      <c r="Y71" s="64"/>
      <c r="Z71" s="64"/>
      <c r="AA71" s="64"/>
      <c r="AB71" s="64"/>
      <c r="AC71" s="64"/>
      <c r="AD71" s="64"/>
      <c r="AE71" s="64"/>
      <c r="AF71" s="64"/>
      <c r="AG71" s="64"/>
      <c r="AH71" s="64"/>
      <c r="AI71" s="64"/>
      <c r="AJ71" s="64"/>
      <c r="AK71" s="64"/>
    </row>
    <row r="72" spans="1:37">
      <c r="A72" s="64"/>
      <c r="B72" s="64"/>
      <c r="C72" s="64"/>
      <c r="D72" s="64"/>
      <c r="E72" s="64"/>
      <c r="F72" s="64"/>
      <c r="G72" s="64"/>
      <c r="H72" s="64"/>
      <c r="I72" s="64"/>
      <c r="J72" s="64"/>
      <c r="K72" s="64"/>
      <c r="L72" s="64"/>
      <c r="M72" s="64"/>
      <c r="N72" s="108">
        <f>'Economic Assumptions'!A73</f>
        <v>2081</v>
      </c>
      <c r="O72" s="108">
        <f>(1+INDEX('Economic Assumptions'!$B$12:$CC$85,L72,$B$4+F$6))*O71</f>
        <v>6.537113380021065</v>
      </c>
      <c r="P72" s="472">
        <f>IF(N72&lt;=$B$5,1,(1+INDEX('Economic Assumptions'!$B$12:$CC$85,L72,$B$4+F$6))*P71)</f>
        <v>5.5534009841132495</v>
      </c>
      <c r="Q72" s="64"/>
      <c r="R72" s="64"/>
      <c r="S72" s="64"/>
      <c r="T72" s="64"/>
      <c r="U72" s="64"/>
      <c r="V72" s="64"/>
      <c r="W72" s="64"/>
      <c r="X72" s="64"/>
      <c r="Y72" s="64"/>
      <c r="Z72" s="64"/>
      <c r="AA72" s="64"/>
      <c r="AB72" s="64"/>
      <c r="AC72" s="64"/>
      <c r="AD72" s="64"/>
      <c r="AE72" s="64"/>
      <c r="AF72" s="64"/>
      <c r="AG72" s="64"/>
      <c r="AH72" s="64"/>
      <c r="AI72" s="64"/>
      <c r="AJ72" s="64"/>
      <c r="AK72" s="64"/>
    </row>
    <row r="73" spans="1:37">
      <c r="A73" s="64"/>
      <c r="B73" s="64"/>
      <c r="C73" s="64"/>
      <c r="D73" s="64"/>
      <c r="E73" s="64"/>
      <c r="F73" s="64"/>
      <c r="G73" s="64"/>
      <c r="H73" s="64"/>
      <c r="I73" s="64"/>
      <c r="J73" s="64"/>
      <c r="K73" s="64"/>
      <c r="L73" s="64"/>
      <c r="M73" s="64"/>
      <c r="N73" s="108">
        <f>'Economic Assumptions'!A74</f>
        <v>2082</v>
      </c>
      <c r="O73" s="108">
        <f>(1+INDEX('Economic Assumptions'!$B$12:$CC$85,L73,$B$4+F$6))*O72</f>
        <v>6.7332267814216973</v>
      </c>
      <c r="P73" s="472">
        <f>IF(N73&lt;=$B$5,1,(1+INDEX('Economic Assumptions'!$B$12:$CC$85,L73,$B$4+F$6))*P72)</f>
        <v>5.7200030136366466</v>
      </c>
      <c r="Q73" s="64"/>
      <c r="R73" s="64"/>
      <c r="S73" s="64"/>
      <c r="T73" s="64"/>
      <c r="U73" s="64"/>
      <c r="V73" s="64"/>
      <c r="W73" s="64"/>
      <c r="X73" s="64"/>
      <c r="Y73" s="64"/>
      <c r="Z73" s="64"/>
      <c r="AA73" s="64"/>
      <c r="AB73" s="64"/>
      <c r="AC73" s="64"/>
      <c r="AD73" s="64"/>
      <c r="AE73" s="64"/>
      <c r="AF73" s="64"/>
      <c r="AG73" s="64"/>
      <c r="AH73" s="64"/>
      <c r="AI73" s="64"/>
      <c r="AJ73" s="64"/>
      <c r="AK73" s="64"/>
    </row>
    <row r="74" spans="1:37">
      <c r="A74" s="64"/>
      <c r="B74" s="64"/>
      <c r="C74" s="64"/>
      <c r="D74" s="64"/>
      <c r="E74" s="64"/>
      <c r="F74" s="64"/>
      <c r="G74" s="64"/>
      <c r="H74" s="64"/>
      <c r="I74" s="64"/>
      <c r="J74" s="64"/>
      <c r="K74" s="64"/>
      <c r="L74" s="64"/>
      <c r="M74" s="64"/>
      <c r="N74" s="108">
        <f>'Economic Assumptions'!A75</f>
        <v>2083</v>
      </c>
      <c r="O74" s="108">
        <f>(1+INDEX('Economic Assumptions'!$B$12:$CC$85,L74,$B$4+F$6))*O73</f>
        <v>6.9352235848643486</v>
      </c>
      <c r="P74" s="472">
        <f>IF(N74&lt;=$B$5,1,(1+INDEX('Economic Assumptions'!$B$12:$CC$85,L74,$B$4+F$6))*P73)</f>
        <v>5.8916031040457462</v>
      </c>
      <c r="Q74" s="64"/>
      <c r="R74" s="64"/>
      <c r="S74" s="64"/>
      <c r="T74" s="64"/>
      <c r="U74" s="64"/>
      <c r="V74" s="64"/>
      <c r="W74" s="64"/>
      <c r="X74" s="64"/>
      <c r="Y74" s="64"/>
      <c r="Z74" s="64"/>
      <c r="AA74" s="64"/>
      <c r="AB74" s="64"/>
      <c r="AC74" s="64"/>
      <c r="AD74" s="64"/>
      <c r="AE74" s="64"/>
      <c r="AF74" s="64"/>
      <c r="AG74" s="64"/>
      <c r="AH74" s="64"/>
      <c r="AI74" s="64"/>
      <c r="AJ74" s="64"/>
      <c r="AK74" s="64"/>
    </row>
    <row r="75" spans="1:37">
      <c r="A75" s="64"/>
      <c r="B75" s="64"/>
      <c r="C75" s="64"/>
      <c r="D75" s="64"/>
      <c r="E75" s="64"/>
      <c r="F75" s="64"/>
      <c r="G75" s="64"/>
      <c r="H75" s="64"/>
      <c r="I75" s="64"/>
      <c r="J75" s="64"/>
      <c r="K75" s="64"/>
      <c r="L75" s="64"/>
      <c r="M75" s="64"/>
      <c r="N75" s="108">
        <f>'Economic Assumptions'!A76</f>
        <v>2084</v>
      </c>
      <c r="O75" s="108">
        <f>(1+INDEX('Economic Assumptions'!$B$12:$CC$85,L75,$B$4+F$6))*O74</f>
        <v>7.143280292410279</v>
      </c>
      <c r="P75" s="472">
        <f>IF(N75&lt;=$B$5,1,(1+INDEX('Economic Assumptions'!$B$12:$CC$85,L75,$B$4+F$6))*P74)</f>
        <v>6.0683511971671189</v>
      </c>
      <c r="Q75" s="64"/>
      <c r="R75" s="64"/>
      <c r="S75" s="64"/>
      <c r="T75" s="64"/>
      <c r="U75" s="64"/>
      <c r="V75" s="64"/>
      <c r="W75" s="64"/>
      <c r="X75" s="64"/>
      <c r="Y75" s="64"/>
      <c r="Z75" s="64"/>
      <c r="AA75" s="64"/>
      <c r="AB75" s="64"/>
      <c r="AC75" s="64"/>
      <c r="AD75" s="64"/>
      <c r="AE75" s="64"/>
      <c r="AF75" s="64"/>
      <c r="AG75" s="64"/>
      <c r="AH75" s="64"/>
      <c r="AI75" s="64"/>
      <c r="AJ75" s="64"/>
      <c r="AK75" s="64"/>
    </row>
    <row r="76" spans="1:37">
      <c r="A76" s="64"/>
      <c r="B76" s="64"/>
      <c r="C76" s="64"/>
      <c r="D76" s="64"/>
      <c r="E76" s="64"/>
      <c r="F76" s="64"/>
      <c r="G76" s="64"/>
      <c r="H76" s="64"/>
      <c r="I76" s="64"/>
      <c r="J76" s="64"/>
      <c r="K76" s="64"/>
      <c r="L76" s="64"/>
      <c r="M76" s="64"/>
      <c r="N76" s="108">
        <f>'Economic Assumptions'!A77</f>
        <v>2085</v>
      </c>
      <c r="O76" s="108">
        <f>(1+INDEX('Economic Assumptions'!$B$12:$CC$85,L76,$B$4+F$6))*O75</f>
        <v>7.3575787011825877</v>
      </c>
      <c r="P76" s="472">
        <f>IF(N76&lt;=$B$5,1,(1+INDEX('Economic Assumptions'!$B$12:$CC$85,L76,$B$4+F$6))*P75)</f>
        <v>6.2504017330821329</v>
      </c>
      <c r="Q76" s="64"/>
      <c r="R76" s="64"/>
      <c r="S76" s="64"/>
      <c r="T76" s="64"/>
      <c r="U76" s="64"/>
      <c r="V76" s="64"/>
      <c r="W76" s="64"/>
      <c r="X76" s="64"/>
      <c r="Y76" s="64"/>
      <c r="Z76" s="64"/>
      <c r="AA76" s="64"/>
      <c r="AB76" s="64"/>
      <c r="AC76" s="64"/>
      <c r="AD76" s="64"/>
      <c r="AE76" s="64"/>
      <c r="AF76" s="64"/>
      <c r="AG76" s="64"/>
      <c r="AH76" s="64"/>
      <c r="AI76" s="64"/>
      <c r="AJ76" s="64"/>
      <c r="AK76" s="64"/>
    </row>
    <row r="77" spans="1:37">
      <c r="A77" s="64"/>
      <c r="B77" s="64"/>
      <c r="C77" s="64"/>
      <c r="D77" s="64"/>
      <c r="E77" s="64"/>
      <c r="F77" s="64"/>
      <c r="G77" s="64"/>
      <c r="H77" s="64"/>
      <c r="I77" s="64"/>
      <c r="J77" s="64"/>
      <c r="K77" s="64"/>
      <c r="L77" s="64"/>
      <c r="M77" s="64"/>
      <c r="N77" s="108">
        <f>'Economic Assumptions'!A78</f>
        <v>2086</v>
      </c>
      <c r="O77" s="108">
        <f>(1+INDEX('Economic Assumptions'!$B$12:$CC$85,L77,$B$4+F$6))*O76</f>
        <v>7.5783060622180658</v>
      </c>
      <c r="P77" s="472">
        <f>IF(N77&lt;=$B$5,1,(1+INDEX('Economic Assumptions'!$B$12:$CC$85,L77,$B$4+F$6))*P76)</f>
        <v>6.4379137850745973</v>
      </c>
      <c r="Q77" s="64"/>
      <c r="R77" s="64"/>
      <c r="S77" s="64"/>
      <c r="T77" s="64"/>
      <c r="U77" s="64"/>
      <c r="V77" s="64"/>
      <c r="W77" s="64"/>
      <c r="X77" s="64"/>
      <c r="Y77" s="64"/>
      <c r="Z77" s="64"/>
      <c r="AA77" s="64"/>
      <c r="AB77" s="64"/>
      <c r="AC77" s="64"/>
      <c r="AD77" s="64"/>
      <c r="AE77" s="64"/>
      <c r="AF77" s="64"/>
      <c r="AG77" s="64"/>
      <c r="AH77" s="64"/>
      <c r="AI77" s="64"/>
      <c r="AJ77" s="64"/>
      <c r="AK77" s="64"/>
    </row>
    <row r="78" spans="1:37">
      <c r="A78" s="64"/>
      <c r="B78" s="64"/>
      <c r="C78" s="64"/>
      <c r="D78" s="64"/>
      <c r="E78" s="64"/>
      <c r="F78" s="64"/>
      <c r="G78" s="64"/>
      <c r="H78" s="64"/>
      <c r="I78" s="64"/>
      <c r="J78" s="64"/>
      <c r="K78" s="64"/>
      <c r="L78" s="64"/>
      <c r="M78" s="64"/>
      <c r="N78" s="108">
        <f>'Economic Assumptions'!A79</f>
        <v>2087</v>
      </c>
      <c r="O78" s="108">
        <f>(1+INDEX('Economic Assumptions'!$B$12:$CC$85,L78,$B$4+F$6))*O77</f>
        <v>7.8056552440846083</v>
      </c>
      <c r="P78" s="472">
        <f>IF(N78&lt;=$B$5,1,(1+INDEX('Economic Assumptions'!$B$12:$CC$85,L78,$B$4+F$6))*P77)</f>
        <v>6.6310511986268352</v>
      </c>
      <c r="Q78" s="64"/>
      <c r="R78" s="64"/>
      <c r="S78" s="64"/>
      <c r="T78" s="64"/>
      <c r="U78" s="64"/>
      <c r="V78" s="64"/>
      <c r="W78" s="64"/>
      <c r="X78" s="64"/>
      <c r="Y78" s="64"/>
      <c r="Z78" s="64"/>
      <c r="AA78" s="64"/>
      <c r="AB78" s="64"/>
      <c r="AC78" s="64"/>
      <c r="AD78" s="64"/>
      <c r="AE78" s="64"/>
      <c r="AF78" s="64"/>
      <c r="AG78" s="64"/>
      <c r="AH78" s="64"/>
      <c r="AI78" s="64"/>
      <c r="AJ78" s="64"/>
      <c r="AK78" s="64"/>
    </row>
    <row r="79" spans="1:37">
      <c r="A79" s="64"/>
      <c r="B79" s="64"/>
      <c r="C79" s="64"/>
      <c r="D79" s="64"/>
      <c r="E79" s="64"/>
      <c r="F79" s="64"/>
      <c r="G79" s="64"/>
      <c r="H79" s="64"/>
      <c r="I79" s="64"/>
      <c r="J79" s="64"/>
      <c r="K79" s="64"/>
      <c r="L79" s="64"/>
      <c r="M79" s="64"/>
      <c r="N79" s="108">
        <f>'Economic Assumptions'!A80</f>
        <v>2088</v>
      </c>
      <c r="O79" s="108">
        <f>(1+INDEX('Economic Assumptions'!$B$12:$CC$85,L79,$B$4+F$6))*O78</f>
        <v>8.0398249014071475</v>
      </c>
      <c r="P79" s="472">
        <f>IF(N79&lt;=$B$5,1,(1+INDEX('Economic Assumptions'!$B$12:$CC$85,L79,$B$4+F$6))*P78)</f>
        <v>6.8299827345856405</v>
      </c>
      <c r="Q79" s="64"/>
      <c r="R79" s="64"/>
      <c r="S79" s="64"/>
      <c r="T79" s="64"/>
      <c r="U79" s="64"/>
      <c r="V79" s="64"/>
      <c r="W79" s="64"/>
      <c r="X79" s="64"/>
      <c r="Y79" s="64"/>
      <c r="Z79" s="64"/>
      <c r="AA79" s="64"/>
      <c r="AB79" s="64"/>
      <c r="AC79" s="64"/>
      <c r="AD79" s="64"/>
      <c r="AE79" s="64"/>
      <c r="AF79" s="64"/>
      <c r="AG79" s="64"/>
      <c r="AH79" s="64"/>
      <c r="AI79" s="64"/>
      <c r="AJ79" s="64"/>
      <c r="AK79" s="64"/>
    </row>
    <row r="80" spans="1:37">
      <c r="A80" s="64"/>
      <c r="B80" s="64"/>
      <c r="C80" s="64"/>
      <c r="D80" s="64"/>
      <c r="E80" s="64"/>
      <c r="F80" s="64"/>
      <c r="G80" s="64"/>
      <c r="H80" s="64"/>
      <c r="I80" s="64"/>
      <c r="J80" s="64"/>
      <c r="K80" s="64"/>
      <c r="L80" s="64"/>
      <c r="M80" s="64"/>
      <c r="N80" s="108">
        <f>'Economic Assumptions'!A81</f>
        <v>2089</v>
      </c>
      <c r="O80" s="108">
        <f>(1+INDEX('Economic Assumptions'!$B$12:$CC$85,L80,$B$4+F$6))*O79</f>
        <v>8.2810196484493623</v>
      </c>
      <c r="P80" s="472">
        <f>IF(N80&lt;=$B$5,1,(1+INDEX('Economic Assumptions'!$B$12:$CC$85,L80,$B$4+F$6))*P79)</f>
        <v>7.0348822166232097</v>
      </c>
      <c r="Q80" s="64"/>
      <c r="R80" s="64"/>
      <c r="S80" s="64"/>
      <c r="T80" s="64"/>
      <c r="U80" s="64"/>
      <c r="V80" s="64"/>
      <c r="W80" s="64"/>
      <c r="X80" s="64"/>
      <c r="Y80" s="64"/>
      <c r="Z80" s="64"/>
      <c r="AA80" s="64"/>
      <c r="AB80" s="64"/>
      <c r="AC80" s="64"/>
      <c r="AD80" s="64"/>
      <c r="AE80" s="64"/>
      <c r="AF80" s="64"/>
      <c r="AG80" s="64"/>
      <c r="AH80" s="64"/>
      <c r="AI80" s="64"/>
      <c r="AJ80" s="64"/>
      <c r="AK80" s="64"/>
    </row>
    <row r="81" spans="1:37">
      <c r="A81" s="64"/>
      <c r="B81" s="64"/>
      <c r="C81" s="64"/>
      <c r="D81" s="64"/>
      <c r="E81" s="64"/>
      <c r="F81" s="64"/>
      <c r="G81" s="64"/>
      <c r="H81" s="64"/>
      <c r="I81" s="64"/>
      <c r="J81" s="64"/>
      <c r="K81" s="64"/>
      <c r="L81" s="64"/>
      <c r="M81" s="64"/>
      <c r="N81" s="108">
        <f>'Economic Assumptions'!A82</f>
        <v>2090</v>
      </c>
      <c r="O81" s="108">
        <f>(1+INDEX('Economic Assumptions'!$B$12:$CC$85,L81,$B$4+F$6))*O80</f>
        <v>8.529450237902843</v>
      </c>
      <c r="P81" s="472">
        <f>IF(N81&lt;=$B$5,1,(1+INDEX('Economic Assumptions'!$B$12:$CC$85,L81,$B$4+F$6))*P80)</f>
        <v>7.2459286831219059</v>
      </c>
      <c r="Q81" s="64"/>
      <c r="R81" s="64"/>
      <c r="S81" s="64"/>
      <c r="T81" s="64"/>
      <c r="U81" s="64"/>
      <c r="V81" s="64"/>
      <c r="W81" s="64"/>
      <c r="X81" s="64"/>
      <c r="Y81" s="64"/>
      <c r="Z81" s="64"/>
      <c r="AA81" s="64"/>
      <c r="AB81" s="64"/>
      <c r="AC81" s="64"/>
      <c r="AD81" s="64"/>
      <c r="AE81" s="64"/>
      <c r="AF81" s="64"/>
      <c r="AG81" s="64"/>
      <c r="AH81" s="64"/>
      <c r="AI81" s="64"/>
      <c r="AJ81" s="64"/>
      <c r="AK81" s="64"/>
    </row>
    <row r="82" spans="1:37">
      <c r="A82" s="64"/>
      <c r="B82" s="64"/>
      <c r="C82" s="64"/>
      <c r="D82" s="64"/>
      <c r="E82" s="64"/>
      <c r="F82" s="64"/>
      <c r="G82" s="64"/>
      <c r="H82" s="64"/>
      <c r="I82" s="64"/>
      <c r="J82" s="64"/>
      <c r="K82" s="64"/>
      <c r="L82" s="64"/>
      <c r="M82" s="64"/>
      <c r="N82" s="108">
        <f>'Economic Assumptions'!A83</f>
        <v>2091</v>
      </c>
      <c r="O82" s="108">
        <f>(1+INDEX('Economic Assumptions'!$B$12:$CC$85,L82,$B$4+F$6))*O81</f>
        <v>8.785333745039928</v>
      </c>
      <c r="P82" s="472">
        <f>IF(N82&lt;=$B$5,1,(1+INDEX('Economic Assumptions'!$B$12:$CC$85,L82,$B$4+F$6))*P81)</f>
        <v>7.4633065436155634</v>
      </c>
      <c r="Q82" s="64"/>
      <c r="R82" s="64"/>
      <c r="S82" s="64"/>
      <c r="T82" s="64"/>
      <c r="U82" s="64"/>
      <c r="V82" s="64"/>
      <c r="W82" s="64"/>
      <c r="X82" s="64"/>
      <c r="Y82" s="64"/>
      <c r="Z82" s="64"/>
      <c r="AA82" s="64"/>
      <c r="AB82" s="64"/>
      <c r="AC82" s="64"/>
      <c r="AD82" s="64"/>
      <c r="AE82" s="64"/>
      <c r="AF82" s="64"/>
      <c r="AG82" s="64"/>
      <c r="AH82" s="64"/>
      <c r="AI82" s="64"/>
      <c r="AJ82" s="64"/>
      <c r="AK82" s="64"/>
    </row>
    <row r="83" spans="1:37">
      <c r="A83" s="64"/>
      <c r="B83" s="64"/>
      <c r="C83" s="64"/>
      <c r="D83" s="64"/>
      <c r="E83" s="64"/>
      <c r="F83" s="64"/>
      <c r="G83" s="64"/>
      <c r="H83" s="64"/>
      <c r="I83" s="64"/>
      <c r="J83" s="64"/>
      <c r="K83" s="64"/>
      <c r="L83" s="64"/>
      <c r="M83" s="64"/>
      <c r="N83" s="108">
        <f>'Economic Assumptions'!A84</f>
        <v>2092</v>
      </c>
      <c r="O83" s="108">
        <f>(1+INDEX('Economic Assumptions'!$B$12:$CC$85,L83,$B$4+F$6))*O82</f>
        <v>9.0488937573911254</v>
      </c>
      <c r="P83" s="472">
        <f>IF(N83&lt;=$B$5,1,(1+INDEX('Economic Assumptions'!$B$12:$CC$85,L83,$B$4+F$6))*P82)</f>
        <v>7.6872057399240301</v>
      </c>
      <c r="Q83" s="64"/>
      <c r="R83" s="64"/>
      <c r="S83" s="64"/>
      <c r="T83" s="64"/>
      <c r="U83" s="64"/>
      <c r="V83" s="64"/>
      <c r="W83" s="64"/>
      <c r="X83" s="64"/>
      <c r="Y83" s="64"/>
      <c r="Z83" s="64"/>
      <c r="AA83" s="64"/>
      <c r="AB83" s="64"/>
      <c r="AC83" s="64"/>
      <c r="AD83" s="64"/>
      <c r="AE83" s="64"/>
      <c r="AF83" s="64"/>
      <c r="AG83" s="64"/>
      <c r="AH83" s="64"/>
      <c r="AI83" s="64"/>
      <c r="AJ83" s="64"/>
      <c r="AK83" s="64"/>
    </row>
    <row r="84" spans="1:37">
      <c r="A84" s="64"/>
      <c r="B84" s="64"/>
      <c r="C84" s="64"/>
      <c r="D84" s="64"/>
      <c r="E84" s="64"/>
      <c r="F84" s="64"/>
      <c r="G84" s="64"/>
      <c r="H84" s="64"/>
      <c r="I84" s="64"/>
      <c r="J84" s="64"/>
      <c r="K84" s="64"/>
      <c r="L84" s="64"/>
      <c r="M84" s="64"/>
      <c r="N84" s="110">
        <f>'Economic Assumptions'!A85</f>
        <v>2093</v>
      </c>
      <c r="O84" s="110">
        <f>(1+INDEX('Economic Assumptions'!$B$12:$CC$85,L84,$B$4+F$6))*O83</f>
        <v>9.3203605701128591</v>
      </c>
      <c r="P84" s="473">
        <f>IF(N84&lt;=$B$5,1,(1+INDEX('Economic Assumptions'!$B$12:$CC$85,L84,$B$4+F$6))*P83)</f>
        <v>7.9178219121217515</v>
      </c>
      <c r="Q84" s="64"/>
      <c r="R84" s="64"/>
      <c r="S84" s="64"/>
      <c r="T84" s="64"/>
      <c r="U84" s="64"/>
      <c r="V84" s="64"/>
      <c r="W84" s="64"/>
      <c r="X84" s="64"/>
      <c r="Y84" s="64"/>
      <c r="Z84" s="64"/>
      <c r="AA84" s="64"/>
      <c r="AB84" s="64"/>
      <c r="AC84" s="64"/>
      <c r="AD84" s="64"/>
      <c r="AE84" s="64"/>
      <c r="AF84" s="64"/>
      <c r="AG84" s="64"/>
      <c r="AH84" s="64"/>
      <c r="AI84" s="64"/>
      <c r="AJ84" s="64"/>
      <c r="AK84" s="64"/>
    </row>
    <row r="85" spans="1:37">
      <c r="A85" s="64"/>
      <c r="B85" s="64"/>
      <c r="C85" s="64"/>
      <c r="D85" s="64"/>
      <c r="E85" s="64"/>
      <c r="F85" s="64"/>
      <c r="G85" s="64"/>
      <c r="H85" s="64"/>
      <c r="I85" s="64"/>
      <c r="J85" s="64"/>
      <c r="K85" s="64"/>
      <c r="L85" s="64"/>
      <c r="M85" s="64"/>
      <c r="N85" s="64"/>
      <c r="O85" s="64"/>
      <c r="P85" s="64"/>
      <c r="Q85" s="64"/>
      <c r="R85" s="64"/>
      <c r="S85" s="64"/>
      <c r="T85" s="64"/>
      <c r="U85" s="64"/>
      <c r="V85" s="64"/>
      <c r="W85" s="64"/>
      <c r="X85" s="64"/>
      <c r="Y85" s="64"/>
      <c r="Z85" s="64"/>
      <c r="AA85" s="64"/>
      <c r="AB85" s="64"/>
      <c r="AC85" s="64"/>
      <c r="AD85" s="64"/>
      <c r="AE85" s="64"/>
      <c r="AF85" s="64"/>
      <c r="AG85" s="64"/>
      <c r="AH85" s="64"/>
      <c r="AI85" s="64"/>
      <c r="AJ85" s="64"/>
      <c r="AK85" s="64"/>
    </row>
    <row r="86" spans="1:37">
      <c r="A86" s="64"/>
      <c r="B86" s="64"/>
      <c r="C86" s="64"/>
      <c r="D86" s="64"/>
      <c r="E86" s="64"/>
      <c r="F86" s="64"/>
      <c r="G86" s="64"/>
      <c r="H86" s="64"/>
      <c r="I86" s="64"/>
      <c r="J86" s="64"/>
      <c r="K86" s="64"/>
      <c r="L86" s="64"/>
      <c r="M86" s="64"/>
      <c r="N86" s="64"/>
      <c r="O86" s="64"/>
      <c r="P86" s="64"/>
      <c r="Q86" s="64"/>
      <c r="R86" s="64"/>
      <c r="S86" s="64"/>
      <c r="T86" s="64"/>
      <c r="U86" s="64"/>
      <c r="V86" s="64"/>
      <c r="W86" s="64"/>
      <c r="X86" s="64"/>
      <c r="Y86" s="64"/>
      <c r="Z86" s="64"/>
      <c r="AA86" s="64"/>
      <c r="AB86" s="64"/>
      <c r="AC86" s="64"/>
      <c r="AD86" s="64"/>
      <c r="AE86" s="64"/>
      <c r="AF86" s="64"/>
      <c r="AG86" s="64"/>
      <c r="AH86" s="64"/>
      <c r="AI86" s="64"/>
      <c r="AJ86" s="64"/>
      <c r="AK86" s="64"/>
    </row>
    <row r="87" spans="1:37">
      <c r="A87" s="64"/>
      <c r="B87" s="64"/>
      <c r="C87" s="64"/>
      <c r="D87" s="64"/>
      <c r="E87" s="64"/>
      <c r="F87" s="64"/>
      <c r="G87" s="64"/>
      <c r="H87" s="64"/>
      <c r="I87" s="64"/>
      <c r="J87" s="64"/>
      <c r="K87" s="64"/>
      <c r="L87" s="64"/>
      <c r="M87" s="64"/>
      <c r="N87" s="64"/>
      <c r="O87" s="64"/>
      <c r="P87" s="64"/>
      <c r="Q87" s="64"/>
      <c r="R87" s="64"/>
      <c r="S87" s="64"/>
      <c r="T87" s="64"/>
      <c r="U87" s="64"/>
      <c r="V87" s="64"/>
      <c r="W87" s="64"/>
      <c r="X87" s="64"/>
      <c r="Y87" s="64"/>
      <c r="Z87" s="64"/>
      <c r="AA87" s="64"/>
      <c r="AB87" s="64"/>
      <c r="AC87" s="64"/>
      <c r="AD87" s="64"/>
      <c r="AE87" s="64"/>
      <c r="AF87" s="64"/>
      <c r="AG87" s="64"/>
      <c r="AH87" s="64"/>
      <c r="AI87" s="64"/>
      <c r="AJ87" s="64"/>
      <c r="AK87" s="64"/>
    </row>
    <row r="88" spans="1:37">
      <c r="A88" s="64"/>
      <c r="B88" s="64"/>
      <c r="C88" s="64"/>
      <c r="D88" s="64"/>
      <c r="E88" s="64"/>
      <c r="F88" s="64"/>
      <c r="G88" s="64"/>
      <c r="H88" s="64"/>
      <c r="I88" s="64"/>
      <c r="J88" s="64"/>
      <c r="K88" s="64"/>
      <c r="L88" s="64"/>
      <c r="M88" s="64"/>
      <c r="N88" s="64"/>
      <c r="O88" s="64"/>
      <c r="P88" s="64"/>
      <c r="Q88" s="64"/>
      <c r="R88" s="64"/>
      <c r="S88" s="64"/>
      <c r="T88" s="64"/>
      <c r="U88" s="64"/>
      <c r="V88" s="64"/>
      <c r="W88" s="64"/>
      <c r="X88" s="64"/>
      <c r="Y88" s="64"/>
      <c r="Z88" s="64"/>
      <c r="AA88" s="64"/>
      <c r="AB88" s="64"/>
      <c r="AC88" s="64"/>
      <c r="AD88" s="64"/>
      <c r="AE88" s="64"/>
      <c r="AF88" s="64"/>
      <c r="AG88" s="64"/>
      <c r="AH88" s="64"/>
      <c r="AI88" s="64"/>
      <c r="AJ88" s="64"/>
      <c r="AK88" s="64"/>
    </row>
    <row r="89" spans="1:37">
      <c r="A89" s="64"/>
      <c r="B89" s="64"/>
      <c r="C89" s="64"/>
      <c r="D89" s="64"/>
      <c r="E89" s="64"/>
      <c r="F89" s="64"/>
      <c r="G89" s="64"/>
      <c r="H89" s="64"/>
      <c r="I89" s="64"/>
      <c r="J89" s="64"/>
      <c r="K89" s="64"/>
      <c r="L89" s="64"/>
      <c r="M89" s="64"/>
      <c r="N89" s="64"/>
      <c r="O89" s="64"/>
      <c r="P89" s="64"/>
      <c r="Q89" s="64"/>
      <c r="R89" s="64"/>
      <c r="S89" s="64"/>
      <c r="T89" s="64"/>
      <c r="U89" s="64"/>
      <c r="V89" s="64"/>
      <c r="W89" s="64"/>
      <c r="X89" s="64"/>
      <c r="Y89" s="64"/>
      <c r="Z89" s="64"/>
      <c r="AA89" s="64"/>
      <c r="AB89" s="64"/>
      <c r="AC89" s="64"/>
      <c r="AD89" s="64"/>
      <c r="AE89" s="64"/>
      <c r="AF89" s="64"/>
      <c r="AG89" s="64"/>
      <c r="AH89" s="64"/>
      <c r="AI89" s="64"/>
      <c r="AJ89" s="64"/>
      <c r="AK89" s="64"/>
    </row>
    <row r="90" spans="1:37">
      <c r="A90" s="64"/>
      <c r="B90" s="64"/>
      <c r="C90" s="64"/>
      <c r="D90" s="64"/>
      <c r="E90" s="64"/>
      <c r="F90" s="64"/>
      <c r="G90" s="64"/>
      <c r="H90" s="64"/>
      <c r="I90" s="64"/>
      <c r="J90" s="64"/>
      <c r="K90" s="64"/>
      <c r="L90" s="64"/>
      <c r="M90" s="64"/>
      <c r="N90" s="64"/>
      <c r="O90" s="64"/>
      <c r="P90" s="64"/>
      <c r="Q90" s="64"/>
      <c r="R90" s="64"/>
      <c r="S90" s="64"/>
      <c r="T90" s="64"/>
      <c r="U90" s="64"/>
      <c r="V90" s="64"/>
      <c r="W90" s="64"/>
      <c r="X90" s="64"/>
      <c r="Y90" s="64"/>
      <c r="Z90" s="64"/>
      <c r="AA90" s="64"/>
      <c r="AB90" s="64"/>
      <c r="AC90" s="64"/>
      <c r="AD90" s="64"/>
      <c r="AE90" s="64"/>
      <c r="AF90" s="64"/>
      <c r="AG90" s="64"/>
      <c r="AH90" s="64"/>
      <c r="AI90" s="64"/>
      <c r="AJ90" s="64"/>
      <c r="AK90" s="64"/>
    </row>
    <row r="91" spans="1:37">
      <c r="A91" s="64"/>
      <c r="B91" s="64"/>
      <c r="C91" s="64"/>
      <c r="D91" s="64"/>
      <c r="E91" s="64"/>
      <c r="F91" s="64"/>
      <c r="G91" s="64"/>
      <c r="H91" s="64"/>
      <c r="I91" s="64"/>
      <c r="J91" s="64"/>
      <c r="K91" s="64"/>
      <c r="L91" s="64"/>
      <c r="M91" s="64"/>
      <c r="N91" s="64"/>
      <c r="O91" s="64"/>
      <c r="P91" s="64"/>
      <c r="Q91" s="64"/>
      <c r="R91" s="64"/>
      <c r="S91" s="64"/>
      <c r="T91" s="64"/>
      <c r="U91" s="64"/>
      <c r="V91" s="64"/>
      <c r="W91" s="64"/>
      <c r="X91" s="64"/>
      <c r="Y91" s="64"/>
      <c r="Z91" s="64"/>
      <c r="AA91" s="64"/>
      <c r="AB91" s="64"/>
      <c r="AC91" s="64"/>
      <c r="AD91" s="64"/>
      <c r="AE91" s="64"/>
      <c r="AF91" s="64"/>
      <c r="AG91" s="64"/>
      <c r="AH91" s="64"/>
      <c r="AI91" s="64"/>
      <c r="AJ91" s="64"/>
      <c r="AK91" s="64"/>
    </row>
    <row r="92" spans="1:37">
      <c r="A92" s="64"/>
      <c r="B92" s="64"/>
      <c r="C92" s="64"/>
      <c r="D92" s="64"/>
      <c r="E92" s="64"/>
      <c r="F92" s="64"/>
      <c r="G92" s="64"/>
      <c r="H92" s="64"/>
      <c r="I92" s="64"/>
      <c r="J92" s="64"/>
      <c r="K92" s="64"/>
      <c r="L92" s="64"/>
      <c r="M92" s="64"/>
      <c r="N92" s="64"/>
      <c r="O92" s="64"/>
      <c r="P92" s="64"/>
      <c r="Q92" s="64"/>
      <c r="R92" s="64"/>
      <c r="S92" s="64"/>
      <c r="T92" s="64"/>
      <c r="U92" s="64"/>
      <c r="V92" s="64"/>
      <c r="W92" s="64"/>
      <c r="X92" s="64"/>
      <c r="Y92" s="64"/>
      <c r="Z92" s="64"/>
      <c r="AA92" s="64"/>
      <c r="AB92" s="64"/>
      <c r="AC92" s="64"/>
      <c r="AD92" s="64"/>
      <c r="AE92" s="64"/>
      <c r="AF92" s="64"/>
      <c r="AG92" s="64"/>
      <c r="AH92" s="64"/>
      <c r="AI92" s="64"/>
      <c r="AJ92" s="64"/>
      <c r="AK92" s="64"/>
    </row>
    <row r="93" spans="1:37">
      <c r="A93" s="64"/>
      <c r="B93" s="64"/>
      <c r="C93" s="64"/>
      <c r="D93" s="64"/>
      <c r="E93" s="64"/>
      <c r="F93" s="64"/>
      <c r="G93" s="64"/>
      <c r="H93" s="64"/>
      <c r="I93" s="64"/>
      <c r="J93" s="64"/>
      <c r="K93" s="64"/>
      <c r="L93" s="64"/>
      <c r="M93" s="64"/>
      <c r="N93" s="64"/>
      <c r="O93" s="64"/>
      <c r="P93" s="64"/>
      <c r="Q93" s="64"/>
      <c r="R93" s="64"/>
      <c r="S93" s="64"/>
      <c r="T93" s="64"/>
      <c r="U93" s="64"/>
      <c r="V93" s="64"/>
      <c r="W93" s="64"/>
      <c r="X93" s="64"/>
      <c r="Y93" s="64"/>
      <c r="Z93" s="64"/>
      <c r="AA93" s="64"/>
      <c r="AB93" s="64"/>
      <c r="AC93" s="64"/>
      <c r="AD93" s="64"/>
      <c r="AE93" s="64"/>
      <c r="AF93" s="64"/>
      <c r="AG93" s="64"/>
      <c r="AH93" s="64"/>
      <c r="AI93" s="64"/>
      <c r="AJ93" s="64"/>
      <c r="AK93" s="64"/>
    </row>
    <row r="94" spans="1:37">
      <c r="A94" s="64"/>
      <c r="B94" s="64"/>
      <c r="C94" s="64"/>
      <c r="D94" s="64"/>
      <c r="E94" s="64"/>
      <c r="F94" s="64"/>
      <c r="G94" s="64"/>
      <c r="H94" s="64"/>
      <c r="I94" s="64"/>
      <c r="J94" s="64"/>
      <c r="K94" s="64"/>
      <c r="L94" s="64"/>
      <c r="M94" s="64"/>
      <c r="N94" s="64"/>
      <c r="O94" s="64"/>
      <c r="P94" s="64"/>
      <c r="Q94" s="64"/>
      <c r="R94" s="64"/>
      <c r="S94" s="64"/>
      <c r="T94" s="64"/>
      <c r="U94" s="64"/>
      <c r="V94" s="64"/>
      <c r="W94" s="64"/>
      <c r="X94" s="64"/>
      <c r="Y94" s="64"/>
      <c r="Z94" s="64"/>
      <c r="AA94" s="64"/>
      <c r="AB94" s="64"/>
      <c r="AC94" s="64"/>
      <c r="AD94" s="64"/>
      <c r="AE94" s="64"/>
      <c r="AF94" s="64"/>
      <c r="AG94" s="64"/>
      <c r="AH94" s="64"/>
      <c r="AI94" s="64"/>
      <c r="AJ94" s="64"/>
      <c r="AK94" s="64"/>
    </row>
    <row r="95" spans="1:37">
      <c r="A95" s="64"/>
      <c r="B95" s="64"/>
      <c r="C95" s="64"/>
      <c r="D95" s="64"/>
      <c r="E95" s="64"/>
      <c r="F95" s="64"/>
      <c r="G95" s="64"/>
      <c r="H95" s="64"/>
      <c r="I95" s="64"/>
      <c r="J95" s="64"/>
      <c r="K95" s="64"/>
      <c r="L95" s="64"/>
      <c r="M95" s="64"/>
      <c r="N95" s="64"/>
      <c r="O95" s="64"/>
      <c r="P95" s="64"/>
      <c r="Q95" s="64"/>
      <c r="R95" s="64"/>
      <c r="S95" s="64"/>
      <c r="T95" s="64"/>
      <c r="U95" s="64"/>
      <c r="V95" s="64"/>
      <c r="W95" s="64"/>
      <c r="X95" s="64"/>
      <c r="Y95" s="64"/>
      <c r="Z95" s="64"/>
      <c r="AA95" s="64"/>
      <c r="AB95" s="64"/>
      <c r="AC95" s="64"/>
      <c r="AD95" s="64"/>
      <c r="AE95" s="64"/>
      <c r="AF95" s="64"/>
      <c r="AG95" s="64"/>
      <c r="AH95" s="64"/>
      <c r="AI95" s="64"/>
      <c r="AJ95" s="64"/>
      <c r="AK95" s="64"/>
    </row>
    <row r="96" spans="1:37">
      <c r="A96" s="64"/>
      <c r="B96" s="64"/>
      <c r="C96" s="64"/>
      <c r="D96" s="64"/>
      <c r="E96" s="64"/>
      <c r="F96" s="64"/>
      <c r="G96" s="64"/>
      <c r="H96" s="64"/>
      <c r="I96" s="64"/>
      <c r="J96" s="64"/>
      <c r="K96" s="64"/>
      <c r="L96" s="64"/>
      <c r="M96" s="64"/>
      <c r="N96" s="64"/>
      <c r="O96" s="64"/>
      <c r="P96" s="64"/>
      <c r="Q96" s="64"/>
      <c r="R96" s="64"/>
      <c r="S96" s="64"/>
      <c r="T96" s="64"/>
      <c r="U96" s="64"/>
      <c r="V96" s="64"/>
      <c r="W96" s="64"/>
      <c r="X96" s="64"/>
      <c r="Y96" s="64"/>
      <c r="Z96" s="64"/>
      <c r="AA96" s="64"/>
      <c r="AB96" s="64"/>
      <c r="AC96" s="64"/>
      <c r="AD96" s="64"/>
      <c r="AE96" s="64"/>
      <c r="AF96" s="64"/>
      <c r="AG96" s="64"/>
      <c r="AH96" s="64"/>
      <c r="AI96" s="64"/>
      <c r="AJ96" s="64"/>
      <c r="AK96" s="64"/>
    </row>
    <row r="97" spans="1:37">
      <c r="A97" s="64"/>
      <c r="B97" s="64"/>
      <c r="C97" s="64"/>
      <c r="D97" s="64"/>
      <c r="E97" s="64"/>
      <c r="F97" s="64"/>
      <c r="G97" s="64"/>
      <c r="H97" s="64"/>
      <c r="I97" s="64"/>
      <c r="J97" s="64"/>
      <c r="K97" s="64"/>
      <c r="L97" s="64"/>
      <c r="M97" s="64"/>
      <c r="N97" s="64"/>
      <c r="O97" s="64"/>
      <c r="P97" s="64"/>
      <c r="Q97" s="64"/>
      <c r="R97" s="64"/>
      <c r="S97" s="64"/>
      <c r="T97" s="64"/>
      <c r="U97" s="64"/>
      <c r="V97" s="64"/>
      <c r="W97" s="64"/>
      <c r="X97" s="64"/>
      <c r="Y97" s="64"/>
      <c r="Z97" s="64"/>
      <c r="AA97" s="64"/>
      <c r="AB97" s="64"/>
      <c r="AC97" s="64"/>
      <c r="AD97" s="64"/>
      <c r="AE97" s="64"/>
      <c r="AF97" s="64"/>
      <c r="AG97" s="64"/>
      <c r="AH97" s="64"/>
      <c r="AI97" s="64"/>
      <c r="AJ97" s="64"/>
      <c r="AK97" s="64"/>
    </row>
    <row r="98" spans="1:37">
      <c r="A98" s="64"/>
      <c r="B98" s="64"/>
      <c r="C98" s="64"/>
      <c r="D98" s="64"/>
      <c r="E98" s="64"/>
      <c r="F98" s="64"/>
      <c r="G98" s="64"/>
      <c r="H98" s="64"/>
      <c r="I98" s="64"/>
      <c r="J98" s="64"/>
      <c r="K98" s="64"/>
      <c r="L98" s="64"/>
      <c r="M98" s="64"/>
      <c r="N98" s="64"/>
      <c r="O98" s="64"/>
      <c r="P98" s="64"/>
      <c r="Q98" s="64"/>
      <c r="R98" s="64"/>
      <c r="S98" s="64"/>
      <c r="T98" s="64"/>
      <c r="U98" s="64"/>
      <c r="V98" s="64"/>
      <c r="W98" s="64"/>
      <c r="X98" s="64"/>
      <c r="Y98" s="64"/>
      <c r="Z98" s="64"/>
      <c r="AA98" s="64"/>
      <c r="AB98" s="64"/>
      <c r="AC98" s="64"/>
      <c r="AD98" s="64"/>
      <c r="AE98" s="64"/>
      <c r="AF98" s="64"/>
      <c r="AG98" s="64"/>
      <c r="AH98" s="64"/>
      <c r="AI98" s="64"/>
      <c r="AJ98" s="64"/>
      <c r="AK98" s="64"/>
    </row>
    <row r="99" spans="1:37">
      <c r="A99" s="64"/>
      <c r="B99" s="64"/>
      <c r="C99" s="64"/>
      <c r="D99" s="64"/>
      <c r="E99" s="64"/>
      <c r="F99" s="64"/>
      <c r="G99" s="64"/>
      <c r="H99" s="64"/>
      <c r="I99" s="64"/>
      <c r="J99" s="64"/>
      <c r="K99" s="64"/>
      <c r="L99" s="64"/>
      <c r="M99" s="64"/>
      <c r="N99" s="64"/>
      <c r="O99" s="64"/>
      <c r="P99" s="64"/>
      <c r="Q99" s="64"/>
      <c r="R99" s="64"/>
      <c r="S99" s="64"/>
      <c r="T99" s="64"/>
      <c r="U99" s="64"/>
      <c r="V99" s="64"/>
      <c r="W99" s="64"/>
      <c r="X99" s="64"/>
      <c r="Y99" s="64"/>
      <c r="Z99" s="64"/>
      <c r="AA99" s="64"/>
      <c r="AB99" s="64"/>
      <c r="AC99" s="64"/>
      <c r="AD99" s="64"/>
      <c r="AE99" s="64"/>
      <c r="AF99" s="64"/>
      <c r="AG99" s="64"/>
      <c r="AH99" s="64"/>
      <c r="AI99" s="64"/>
      <c r="AJ99" s="64"/>
      <c r="AK99" s="64"/>
    </row>
    <row r="100" spans="1:37">
      <c r="A100" s="64"/>
      <c r="B100" s="64"/>
      <c r="C100" s="64"/>
      <c r="D100" s="64"/>
      <c r="E100" s="64"/>
      <c r="F100" s="64"/>
      <c r="G100" s="64"/>
      <c r="H100" s="64"/>
      <c r="I100" s="64"/>
      <c r="J100" s="64"/>
      <c r="K100" s="64"/>
      <c r="L100" s="64"/>
      <c r="M100" s="64"/>
      <c r="N100" s="64"/>
      <c r="O100" s="64"/>
      <c r="P100" s="64"/>
      <c r="Q100" s="64"/>
      <c r="R100" s="64"/>
      <c r="S100" s="64"/>
      <c r="T100" s="64"/>
      <c r="U100" s="64"/>
      <c r="V100" s="64"/>
      <c r="W100" s="64"/>
      <c r="X100" s="64"/>
      <c r="Y100" s="64"/>
      <c r="Z100" s="64"/>
      <c r="AA100" s="64"/>
      <c r="AB100" s="64"/>
      <c r="AC100" s="64"/>
      <c r="AD100" s="64"/>
      <c r="AE100" s="64"/>
      <c r="AF100" s="64"/>
      <c r="AG100" s="64"/>
      <c r="AH100" s="64"/>
      <c r="AI100" s="64"/>
      <c r="AJ100" s="64"/>
      <c r="AK100" s="64"/>
    </row>
    <row r="101" spans="1:37">
      <c r="A101" s="64"/>
      <c r="B101" s="64"/>
      <c r="C101" s="64"/>
      <c r="D101" s="64"/>
      <c r="E101" s="64"/>
      <c r="F101" s="64"/>
      <c r="G101" s="64"/>
      <c r="H101" s="64"/>
      <c r="I101" s="64"/>
      <c r="J101" s="64"/>
      <c r="K101" s="64"/>
      <c r="L101" s="64"/>
      <c r="M101" s="64"/>
      <c r="N101" s="64"/>
      <c r="O101" s="64"/>
      <c r="P101" s="64"/>
      <c r="Q101" s="64"/>
      <c r="R101" s="64"/>
      <c r="S101" s="64"/>
      <c r="T101" s="64"/>
      <c r="U101" s="64"/>
      <c r="V101" s="64"/>
      <c r="W101" s="64"/>
      <c r="X101" s="64"/>
      <c r="Y101" s="64"/>
      <c r="Z101" s="64"/>
      <c r="AA101" s="64"/>
      <c r="AB101" s="64"/>
      <c r="AC101" s="64"/>
      <c r="AD101" s="64"/>
      <c r="AE101" s="64"/>
      <c r="AF101" s="64"/>
      <c r="AG101" s="64"/>
      <c r="AH101" s="64"/>
      <c r="AI101" s="64"/>
      <c r="AJ101" s="64"/>
      <c r="AK101" s="64"/>
    </row>
    <row r="102" spans="1:37">
      <c r="A102" s="64"/>
      <c r="B102" s="64"/>
      <c r="C102" s="64"/>
      <c r="D102" s="64"/>
      <c r="E102" s="64"/>
      <c r="F102" s="64"/>
      <c r="G102" s="64"/>
      <c r="H102" s="64"/>
      <c r="I102" s="64"/>
      <c r="J102" s="64"/>
      <c r="K102" s="64"/>
      <c r="L102" s="64"/>
      <c r="M102" s="64"/>
      <c r="N102" s="64"/>
      <c r="O102" s="64"/>
      <c r="P102" s="64"/>
      <c r="Q102" s="64"/>
      <c r="R102" s="64"/>
      <c r="S102" s="64"/>
      <c r="T102" s="64"/>
      <c r="U102" s="64"/>
      <c r="V102" s="64"/>
      <c r="W102" s="64"/>
      <c r="X102" s="64"/>
      <c r="Y102" s="64"/>
      <c r="Z102" s="64"/>
      <c r="AA102" s="64"/>
      <c r="AB102" s="64"/>
      <c r="AC102" s="64"/>
      <c r="AD102" s="64"/>
      <c r="AE102" s="64"/>
      <c r="AF102" s="64"/>
      <c r="AG102" s="64"/>
      <c r="AH102" s="64"/>
      <c r="AI102" s="64"/>
      <c r="AJ102" s="64"/>
      <c r="AK102" s="64"/>
    </row>
    <row r="103" spans="1:37">
      <c r="A103" s="64"/>
      <c r="B103" s="64"/>
      <c r="C103" s="64"/>
      <c r="D103" s="64"/>
      <c r="E103" s="64"/>
      <c r="F103" s="64"/>
      <c r="G103" s="64"/>
      <c r="H103" s="64"/>
      <c r="I103" s="64"/>
      <c r="J103" s="64"/>
      <c r="K103" s="64"/>
      <c r="L103" s="64"/>
      <c r="M103" s="64"/>
      <c r="N103" s="64"/>
      <c r="O103" s="64"/>
      <c r="P103" s="64"/>
      <c r="Q103" s="64"/>
      <c r="R103" s="64"/>
      <c r="S103" s="64"/>
      <c r="T103" s="64"/>
      <c r="U103" s="64"/>
      <c r="V103" s="64"/>
      <c r="W103" s="64"/>
      <c r="X103" s="64"/>
      <c r="Y103" s="64"/>
      <c r="Z103" s="64"/>
      <c r="AA103" s="64"/>
      <c r="AB103" s="64"/>
      <c r="AC103" s="64"/>
      <c r="AD103" s="64"/>
      <c r="AE103" s="64"/>
      <c r="AF103" s="64"/>
      <c r="AG103" s="64"/>
      <c r="AH103" s="64"/>
      <c r="AI103" s="64"/>
      <c r="AJ103" s="64"/>
      <c r="AK103" s="64"/>
    </row>
    <row r="104" spans="1:37">
      <c r="A104" s="64"/>
      <c r="B104" s="64"/>
      <c r="C104" s="64"/>
      <c r="D104" s="64"/>
      <c r="E104" s="64"/>
      <c r="F104" s="64"/>
      <c r="G104" s="64"/>
      <c r="H104" s="64"/>
      <c r="I104" s="64"/>
      <c r="J104" s="64"/>
      <c r="K104" s="64"/>
      <c r="L104" s="64"/>
      <c r="M104" s="64"/>
      <c r="N104" s="64"/>
      <c r="O104" s="64"/>
      <c r="P104" s="64"/>
      <c r="Q104" s="64"/>
      <c r="R104" s="64"/>
      <c r="S104" s="64"/>
      <c r="T104" s="64"/>
      <c r="U104" s="64"/>
      <c r="V104" s="64"/>
      <c r="W104" s="64"/>
      <c r="X104" s="64"/>
      <c r="Y104" s="64"/>
      <c r="Z104" s="64"/>
      <c r="AA104" s="64"/>
      <c r="AB104" s="64"/>
      <c r="AC104" s="64"/>
      <c r="AD104" s="64"/>
      <c r="AE104" s="64"/>
      <c r="AF104" s="64"/>
      <c r="AG104" s="64"/>
      <c r="AH104" s="64"/>
      <c r="AI104" s="64"/>
      <c r="AJ104" s="64"/>
      <c r="AK104" s="64"/>
    </row>
    <row r="105" spans="1:37">
      <c r="A105" s="64"/>
      <c r="B105" s="64"/>
      <c r="C105" s="64"/>
      <c r="D105" s="64"/>
      <c r="E105" s="64"/>
      <c r="F105" s="64"/>
      <c r="G105" s="64"/>
      <c r="H105" s="64"/>
      <c r="I105" s="64"/>
      <c r="J105" s="64"/>
      <c r="K105" s="64"/>
      <c r="L105" s="64"/>
      <c r="M105" s="64"/>
      <c r="N105" s="64"/>
      <c r="O105" s="64"/>
      <c r="P105" s="64"/>
      <c r="Q105" s="64"/>
      <c r="R105" s="64"/>
      <c r="S105" s="64"/>
      <c r="T105" s="64"/>
      <c r="U105" s="64"/>
      <c r="V105" s="64"/>
      <c r="W105" s="64"/>
      <c r="X105" s="64"/>
      <c r="Y105" s="64"/>
      <c r="Z105" s="64"/>
      <c r="AA105" s="64"/>
      <c r="AB105" s="64"/>
      <c r="AC105" s="64"/>
      <c r="AD105" s="64"/>
      <c r="AE105" s="64"/>
      <c r="AF105" s="64"/>
      <c r="AG105" s="64"/>
      <c r="AH105" s="64"/>
      <c r="AI105" s="64"/>
      <c r="AJ105" s="64"/>
      <c r="AK105" s="64"/>
    </row>
    <row r="106" spans="1:37">
      <c r="A106" s="64"/>
      <c r="B106" s="64"/>
      <c r="C106" s="64"/>
      <c r="D106" s="64"/>
      <c r="E106" s="64"/>
      <c r="F106" s="64"/>
      <c r="G106" s="64"/>
      <c r="H106" s="64"/>
      <c r="I106" s="64"/>
      <c r="J106" s="64"/>
      <c r="K106" s="64"/>
      <c r="L106" s="64"/>
      <c r="M106" s="64"/>
      <c r="N106" s="64"/>
      <c r="O106" s="64"/>
      <c r="P106" s="64"/>
      <c r="Q106" s="64"/>
      <c r="R106" s="64"/>
      <c r="S106" s="64"/>
      <c r="T106" s="64"/>
      <c r="U106" s="64"/>
      <c r="V106" s="64"/>
      <c r="W106" s="64"/>
      <c r="X106" s="64"/>
      <c r="Y106" s="64"/>
      <c r="Z106" s="64"/>
      <c r="AA106" s="64"/>
      <c r="AB106" s="64"/>
      <c r="AC106" s="64"/>
      <c r="AD106" s="64"/>
      <c r="AE106" s="64"/>
      <c r="AF106" s="64"/>
      <c r="AG106" s="64"/>
      <c r="AH106" s="64"/>
      <c r="AI106" s="64"/>
      <c r="AJ106" s="64"/>
      <c r="AK106" s="64"/>
    </row>
    <row r="107" spans="1:37">
      <c r="A107" s="64"/>
      <c r="B107" s="64"/>
      <c r="C107" s="64"/>
      <c r="D107" s="64"/>
      <c r="E107" s="64"/>
      <c r="F107" s="64"/>
      <c r="G107" s="64"/>
      <c r="H107" s="64"/>
      <c r="I107" s="64"/>
      <c r="J107" s="64"/>
      <c r="K107" s="64"/>
      <c r="L107" s="64"/>
      <c r="M107" s="64"/>
      <c r="N107" s="64"/>
      <c r="O107" s="64"/>
      <c r="P107" s="64"/>
      <c r="Q107" s="64"/>
      <c r="R107" s="64"/>
      <c r="S107" s="64"/>
      <c r="T107" s="64"/>
      <c r="U107" s="64"/>
      <c r="V107" s="64"/>
      <c r="W107" s="64"/>
      <c r="X107" s="64"/>
      <c r="Y107" s="64"/>
      <c r="Z107" s="64"/>
      <c r="AA107" s="64"/>
      <c r="AB107" s="64"/>
      <c r="AC107" s="64"/>
      <c r="AD107" s="64"/>
      <c r="AE107" s="64"/>
      <c r="AF107" s="64"/>
      <c r="AG107" s="64"/>
      <c r="AH107" s="64"/>
      <c r="AI107" s="64"/>
      <c r="AJ107" s="64"/>
      <c r="AK107" s="64"/>
    </row>
    <row r="108" spans="1:37">
      <c r="A108" s="64"/>
      <c r="B108" s="64"/>
      <c r="C108" s="64"/>
      <c r="D108" s="64"/>
      <c r="E108" s="64"/>
      <c r="F108" s="64"/>
      <c r="G108" s="64"/>
      <c r="H108" s="64"/>
      <c r="I108" s="64"/>
      <c r="J108" s="64"/>
      <c r="K108" s="64"/>
      <c r="L108" s="64"/>
      <c r="M108" s="64"/>
      <c r="N108" s="64"/>
      <c r="O108" s="64"/>
      <c r="P108" s="64"/>
      <c r="Q108" s="64"/>
      <c r="R108" s="64"/>
      <c r="S108" s="64"/>
      <c r="T108" s="64"/>
      <c r="U108" s="64"/>
      <c r="V108" s="64"/>
      <c r="W108" s="64"/>
      <c r="X108" s="64"/>
      <c r="Y108" s="64"/>
      <c r="Z108" s="64"/>
      <c r="AA108" s="64"/>
      <c r="AB108" s="64"/>
      <c r="AC108" s="64"/>
      <c r="AD108" s="64"/>
      <c r="AE108" s="64"/>
      <c r="AF108" s="64"/>
      <c r="AG108" s="64"/>
      <c r="AH108" s="64"/>
      <c r="AI108" s="64"/>
      <c r="AJ108" s="64"/>
      <c r="AK108" s="64"/>
    </row>
    <row r="109" spans="1:37">
      <c r="A109" s="64"/>
      <c r="B109" s="64"/>
      <c r="C109" s="64"/>
      <c r="D109" s="64"/>
      <c r="E109" s="64"/>
      <c r="F109" s="64"/>
      <c r="G109" s="64"/>
      <c r="H109" s="64"/>
      <c r="I109" s="64"/>
      <c r="J109" s="64"/>
      <c r="K109" s="64"/>
      <c r="L109" s="64"/>
      <c r="M109" s="64"/>
      <c r="N109" s="64"/>
      <c r="O109" s="64"/>
      <c r="P109" s="64"/>
      <c r="Q109" s="64"/>
      <c r="R109" s="64"/>
      <c r="S109" s="64"/>
      <c r="T109" s="64"/>
      <c r="U109" s="64"/>
      <c r="V109" s="64"/>
      <c r="W109" s="64"/>
      <c r="X109" s="64"/>
      <c r="Y109" s="64"/>
      <c r="Z109" s="64"/>
      <c r="AA109" s="64"/>
      <c r="AB109" s="64"/>
      <c r="AC109" s="64"/>
      <c r="AD109" s="64"/>
      <c r="AE109" s="64"/>
      <c r="AF109" s="64"/>
      <c r="AG109" s="64"/>
      <c r="AH109" s="64"/>
      <c r="AI109" s="64"/>
      <c r="AJ109" s="64"/>
      <c r="AK109" s="64"/>
    </row>
    <row r="110" spans="1:37">
      <c r="A110" s="64"/>
      <c r="B110" s="64"/>
      <c r="C110" s="64"/>
      <c r="D110" s="64"/>
      <c r="E110" s="64"/>
      <c r="F110" s="64"/>
      <c r="G110" s="64"/>
      <c r="H110" s="64"/>
      <c r="I110" s="64"/>
      <c r="J110" s="64"/>
      <c r="K110" s="64"/>
      <c r="L110" s="64"/>
      <c r="M110" s="64"/>
      <c r="N110" s="64"/>
      <c r="O110" s="64"/>
      <c r="P110" s="64"/>
      <c r="Q110" s="64"/>
      <c r="R110" s="64"/>
      <c r="S110" s="64"/>
      <c r="T110" s="64"/>
      <c r="U110" s="64"/>
      <c r="V110" s="64"/>
      <c r="W110" s="64"/>
      <c r="X110" s="64"/>
      <c r="Y110" s="64"/>
      <c r="Z110" s="64"/>
      <c r="AA110" s="64"/>
      <c r="AB110" s="64"/>
      <c r="AC110" s="64"/>
      <c r="AD110" s="64"/>
      <c r="AE110" s="64"/>
      <c r="AF110" s="64"/>
      <c r="AG110" s="64"/>
      <c r="AH110" s="64"/>
      <c r="AI110" s="64"/>
      <c r="AJ110" s="64"/>
      <c r="AK110" s="64"/>
    </row>
    <row r="111" spans="1:37">
      <c r="A111" s="64"/>
      <c r="B111" s="64"/>
      <c r="C111" s="64"/>
      <c r="D111" s="64"/>
      <c r="E111" s="64"/>
      <c r="F111" s="64"/>
      <c r="G111" s="64"/>
      <c r="H111" s="64"/>
      <c r="I111" s="64"/>
      <c r="J111" s="64"/>
      <c r="K111" s="64"/>
      <c r="L111" s="64"/>
      <c r="M111" s="64"/>
      <c r="N111" s="64"/>
      <c r="O111" s="64"/>
      <c r="P111" s="64"/>
      <c r="Q111" s="64"/>
      <c r="R111" s="64"/>
      <c r="S111" s="64"/>
      <c r="T111" s="64"/>
      <c r="U111" s="64"/>
      <c r="V111" s="64"/>
      <c r="W111" s="64"/>
      <c r="X111" s="64"/>
      <c r="Y111" s="64"/>
      <c r="Z111" s="64"/>
      <c r="AA111" s="64"/>
      <c r="AB111" s="64"/>
      <c r="AC111" s="64"/>
      <c r="AD111" s="64"/>
      <c r="AE111" s="64"/>
      <c r="AF111" s="64"/>
      <c r="AG111" s="64"/>
      <c r="AH111" s="64"/>
      <c r="AI111" s="64"/>
      <c r="AJ111" s="64"/>
      <c r="AK111" s="64"/>
    </row>
    <row r="112" spans="1:37">
      <c r="A112" s="64"/>
      <c r="B112" s="64"/>
      <c r="C112" s="64"/>
      <c r="D112" s="64"/>
      <c r="E112" s="64"/>
      <c r="F112" s="64"/>
      <c r="G112" s="64"/>
      <c r="H112" s="64"/>
      <c r="I112" s="64"/>
      <c r="J112" s="64"/>
      <c r="K112" s="64"/>
      <c r="L112" s="64"/>
      <c r="M112" s="64"/>
      <c r="N112" s="64"/>
      <c r="O112" s="64"/>
      <c r="P112" s="64"/>
      <c r="Q112" s="64"/>
      <c r="R112" s="64"/>
      <c r="S112" s="64"/>
      <c r="T112" s="64"/>
      <c r="U112" s="64"/>
      <c r="V112" s="64"/>
      <c r="W112" s="64"/>
      <c r="X112" s="64"/>
      <c r="Y112" s="64"/>
      <c r="Z112" s="64"/>
      <c r="AA112" s="64"/>
      <c r="AB112" s="64"/>
      <c r="AC112" s="64"/>
      <c r="AD112" s="64"/>
      <c r="AE112" s="64"/>
      <c r="AF112" s="64"/>
      <c r="AG112" s="64"/>
      <c r="AH112" s="64"/>
      <c r="AI112" s="64"/>
      <c r="AJ112" s="64"/>
      <c r="AK112" s="64"/>
    </row>
    <row r="113" spans="1:37">
      <c r="A113" s="64"/>
      <c r="B113" s="64"/>
      <c r="C113" s="64"/>
      <c r="D113" s="64"/>
      <c r="E113" s="64"/>
      <c r="F113" s="64"/>
      <c r="G113" s="64"/>
      <c r="H113" s="64"/>
      <c r="I113" s="64"/>
      <c r="J113" s="64"/>
      <c r="K113" s="64"/>
      <c r="L113" s="64"/>
      <c r="M113" s="64"/>
      <c r="N113" s="64"/>
      <c r="O113" s="64"/>
      <c r="P113" s="64"/>
      <c r="Q113" s="64"/>
      <c r="R113" s="64"/>
      <c r="S113" s="64"/>
      <c r="T113" s="64"/>
      <c r="U113" s="64"/>
      <c r="V113" s="64"/>
      <c r="W113" s="64"/>
      <c r="X113" s="64"/>
      <c r="Y113" s="64"/>
      <c r="Z113" s="64"/>
      <c r="AA113" s="64"/>
      <c r="AB113" s="64"/>
      <c r="AC113" s="64"/>
      <c r="AD113" s="64"/>
      <c r="AE113" s="64"/>
      <c r="AF113" s="64"/>
      <c r="AG113" s="64"/>
      <c r="AH113" s="64"/>
      <c r="AI113" s="64"/>
      <c r="AJ113" s="64"/>
      <c r="AK113" s="64"/>
    </row>
    <row r="114" spans="1:37">
      <c r="A114" s="64"/>
      <c r="B114" s="64"/>
      <c r="C114" s="64"/>
      <c r="D114" s="64"/>
      <c r="E114" s="64"/>
      <c r="F114" s="64"/>
      <c r="G114" s="64"/>
      <c r="H114" s="64"/>
      <c r="I114" s="64"/>
      <c r="J114" s="64"/>
      <c r="K114" s="64"/>
      <c r="L114" s="64"/>
      <c r="M114" s="64"/>
      <c r="N114" s="64"/>
      <c r="O114" s="64"/>
      <c r="P114" s="64"/>
      <c r="Q114" s="64"/>
      <c r="R114" s="64"/>
      <c r="S114" s="64"/>
      <c r="T114" s="64"/>
      <c r="U114" s="64"/>
      <c r="V114" s="64"/>
      <c r="W114" s="64"/>
      <c r="X114" s="64"/>
      <c r="Y114" s="64"/>
      <c r="Z114" s="64"/>
      <c r="AA114" s="64"/>
      <c r="AB114" s="64"/>
      <c r="AC114" s="64"/>
      <c r="AD114" s="64"/>
      <c r="AE114" s="64"/>
      <c r="AF114" s="64"/>
      <c r="AG114" s="64"/>
      <c r="AH114" s="64"/>
      <c r="AI114" s="64"/>
      <c r="AJ114" s="64"/>
      <c r="AK114" s="64"/>
    </row>
    <row r="115" spans="1:37">
      <c r="A115" s="64"/>
      <c r="B115" s="64"/>
      <c r="C115" s="64"/>
      <c r="D115" s="64"/>
      <c r="E115" s="64"/>
      <c r="F115" s="64"/>
      <c r="G115" s="64"/>
      <c r="H115" s="64"/>
      <c r="I115" s="64"/>
      <c r="J115" s="64"/>
      <c r="K115" s="64"/>
      <c r="L115" s="64"/>
      <c r="M115" s="64"/>
      <c r="N115" s="64"/>
      <c r="O115" s="64"/>
      <c r="P115" s="64"/>
      <c r="Q115" s="64"/>
      <c r="R115" s="64"/>
      <c r="S115" s="64"/>
      <c r="T115" s="64"/>
      <c r="U115" s="64"/>
      <c r="V115" s="64"/>
      <c r="W115" s="64"/>
      <c r="X115" s="64"/>
      <c r="Y115" s="64"/>
      <c r="Z115" s="64"/>
      <c r="AA115" s="64"/>
      <c r="AB115" s="64"/>
      <c r="AC115" s="64"/>
      <c r="AD115" s="64"/>
      <c r="AE115" s="64"/>
      <c r="AF115" s="64"/>
      <c r="AG115" s="64"/>
      <c r="AH115" s="64"/>
      <c r="AI115" s="64"/>
      <c r="AJ115" s="64"/>
      <c r="AK115" s="64"/>
    </row>
    <row r="116" spans="1:37">
      <c r="A116" s="64"/>
      <c r="B116" s="64"/>
      <c r="C116" s="64"/>
      <c r="D116" s="64"/>
      <c r="E116" s="64"/>
      <c r="F116" s="64"/>
      <c r="G116" s="64"/>
      <c r="H116" s="64"/>
      <c r="I116" s="64"/>
      <c r="J116" s="64"/>
      <c r="K116" s="64"/>
      <c r="L116" s="64"/>
      <c r="M116" s="64"/>
      <c r="N116" s="64"/>
      <c r="O116" s="64"/>
      <c r="P116" s="64"/>
      <c r="Q116" s="64"/>
      <c r="R116" s="64"/>
      <c r="S116" s="64"/>
      <c r="T116" s="64"/>
      <c r="U116" s="64"/>
      <c r="V116" s="64"/>
      <c r="W116" s="64"/>
      <c r="X116" s="64"/>
      <c r="Y116" s="64"/>
      <c r="Z116" s="64"/>
      <c r="AA116" s="64"/>
      <c r="AB116" s="64"/>
      <c r="AC116" s="64"/>
      <c r="AD116" s="64"/>
      <c r="AE116" s="64"/>
      <c r="AF116" s="64"/>
      <c r="AG116" s="64"/>
      <c r="AH116" s="64"/>
      <c r="AI116" s="64"/>
      <c r="AJ116" s="64"/>
      <c r="AK116" s="64"/>
    </row>
    <row r="117" spans="1:37">
      <c r="A117" s="64"/>
      <c r="B117" s="64"/>
      <c r="C117" s="64"/>
      <c r="D117" s="64"/>
      <c r="E117" s="64"/>
      <c r="F117" s="64"/>
      <c r="G117" s="64"/>
      <c r="H117" s="64"/>
      <c r="I117" s="64"/>
      <c r="J117" s="64"/>
      <c r="K117" s="64"/>
      <c r="L117" s="64"/>
      <c r="M117" s="64"/>
      <c r="N117" s="64"/>
      <c r="O117" s="64"/>
      <c r="P117" s="64"/>
      <c r="Q117" s="64"/>
      <c r="R117" s="64"/>
      <c r="S117" s="64"/>
      <c r="T117" s="64"/>
      <c r="U117" s="64"/>
      <c r="V117" s="64"/>
      <c r="W117" s="64"/>
      <c r="X117" s="64"/>
      <c r="Y117" s="64"/>
      <c r="Z117" s="64"/>
      <c r="AA117" s="64"/>
      <c r="AB117" s="64"/>
      <c r="AC117" s="64"/>
      <c r="AD117" s="64"/>
      <c r="AE117" s="64"/>
      <c r="AF117" s="64"/>
      <c r="AG117" s="64"/>
      <c r="AH117" s="64"/>
      <c r="AI117" s="64"/>
      <c r="AJ117" s="64"/>
      <c r="AK117" s="64"/>
    </row>
    <row r="118" spans="1:37">
      <c r="A118" s="64"/>
      <c r="B118" s="64"/>
      <c r="C118" s="64"/>
      <c r="D118" s="64"/>
      <c r="E118" s="64"/>
      <c r="F118" s="64"/>
      <c r="G118" s="64"/>
      <c r="H118" s="64"/>
      <c r="I118" s="64"/>
      <c r="J118" s="64"/>
      <c r="K118" s="64"/>
      <c r="L118" s="64"/>
      <c r="M118" s="64"/>
      <c r="N118" s="64"/>
      <c r="O118" s="64"/>
      <c r="P118" s="64"/>
      <c r="Q118" s="64"/>
      <c r="R118" s="64"/>
      <c r="S118" s="64"/>
      <c r="T118" s="64"/>
      <c r="U118" s="64"/>
      <c r="V118" s="64"/>
      <c r="W118" s="64"/>
      <c r="X118" s="64"/>
      <c r="Y118" s="64"/>
      <c r="Z118" s="64"/>
      <c r="AA118" s="64"/>
      <c r="AB118" s="64"/>
      <c r="AC118" s="64"/>
      <c r="AD118" s="64"/>
      <c r="AE118" s="64"/>
      <c r="AF118" s="64"/>
      <c r="AG118" s="64"/>
      <c r="AH118" s="64"/>
      <c r="AI118" s="64"/>
      <c r="AJ118" s="64"/>
      <c r="AK118" s="64"/>
    </row>
    <row r="119" spans="1:37">
      <c r="A119" s="64"/>
      <c r="B119" s="64"/>
      <c r="C119" s="64"/>
      <c r="D119" s="64"/>
      <c r="E119" s="64"/>
      <c r="F119" s="64"/>
      <c r="G119" s="64"/>
      <c r="H119" s="64"/>
      <c r="I119" s="64"/>
      <c r="J119" s="64"/>
      <c r="K119" s="64"/>
      <c r="L119" s="64"/>
      <c r="M119" s="64"/>
      <c r="N119" s="64"/>
      <c r="O119" s="64"/>
      <c r="P119" s="64"/>
      <c r="Q119" s="64"/>
      <c r="R119" s="64"/>
      <c r="S119" s="64"/>
      <c r="T119" s="64"/>
      <c r="U119" s="64"/>
      <c r="V119" s="64"/>
      <c r="W119" s="64"/>
      <c r="X119" s="64"/>
      <c r="Y119" s="64"/>
      <c r="Z119" s="64"/>
      <c r="AA119" s="64"/>
      <c r="AB119" s="64"/>
      <c r="AC119" s="64"/>
      <c r="AD119" s="64"/>
      <c r="AE119" s="64"/>
      <c r="AF119" s="64"/>
      <c r="AG119" s="64"/>
      <c r="AH119" s="64"/>
      <c r="AI119" s="64"/>
      <c r="AJ119" s="64"/>
      <c r="AK119" s="64"/>
    </row>
    <row r="120" spans="1:37">
      <c r="A120" s="64"/>
      <c r="B120" s="64"/>
      <c r="C120" s="64"/>
      <c r="D120" s="64"/>
      <c r="E120" s="64"/>
      <c r="F120" s="64"/>
      <c r="G120" s="64"/>
      <c r="H120" s="64"/>
      <c r="I120" s="64"/>
      <c r="J120" s="64"/>
      <c r="K120" s="64"/>
      <c r="L120" s="64"/>
      <c r="M120" s="64"/>
      <c r="N120" s="64"/>
      <c r="O120" s="64"/>
      <c r="P120" s="64"/>
      <c r="Q120" s="64"/>
      <c r="R120" s="64"/>
      <c r="S120" s="64"/>
      <c r="T120" s="64"/>
      <c r="U120" s="64"/>
      <c r="V120" s="64"/>
      <c r="W120" s="64"/>
      <c r="X120" s="64"/>
      <c r="Y120" s="64"/>
      <c r="Z120" s="64"/>
      <c r="AA120" s="64"/>
      <c r="AB120" s="64"/>
      <c r="AC120" s="64"/>
      <c r="AD120" s="64"/>
      <c r="AE120" s="64"/>
      <c r="AF120" s="64"/>
      <c r="AG120" s="64"/>
      <c r="AH120" s="64"/>
      <c r="AI120" s="64"/>
      <c r="AJ120" s="64"/>
      <c r="AK120" s="64"/>
    </row>
    <row r="121" spans="1:37">
      <c r="A121" s="64"/>
      <c r="B121" s="64"/>
      <c r="C121" s="64"/>
      <c r="D121" s="64"/>
      <c r="E121" s="64"/>
      <c r="F121" s="64"/>
      <c r="G121" s="64"/>
      <c r="H121" s="64"/>
      <c r="I121" s="64"/>
      <c r="J121" s="64"/>
      <c r="K121" s="64"/>
      <c r="L121" s="64"/>
      <c r="M121" s="64"/>
      <c r="N121" s="64"/>
      <c r="O121" s="64"/>
      <c r="P121" s="64"/>
      <c r="Q121" s="64"/>
      <c r="R121" s="64"/>
      <c r="S121" s="64"/>
      <c r="T121" s="64"/>
      <c r="U121" s="64"/>
      <c r="V121" s="64"/>
      <c r="W121" s="64"/>
      <c r="X121" s="64"/>
      <c r="Y121" s="64"/>
      <c r="Z121" s="64"/>
      <c r="AA121" s="64"/>
      <c r="AB121" s="64"/>
      <c r="AC121" s="64"/>
      <c r="AD121" s="64"/>
      <c r="AE121" s="64"/>
      <c r="AF121" s="64"/>
      <c r="AG121" s="64"/>
      <c r="AH121" s="64"/>
      <c r="AI121" s="64"/>
      <c r="AJ121" s="64"/>
      <c r="AK121" s="64"/>
    </row>
    <row r="122" spans="1:37">
      <c r="A122" s="64"/>
      <c r="B122" s="64"/>
      <c r="C122" s="64"/>
      <c r="D122" s="64"/>
      <c r="E122" s="64"/>
      <c r="F122" s="64"/>
      <c r="G122" s="64"/>
      <c r="H122" s="64"/>
      <c r="I122" s="64"/>
      <c r="J122" s="64"/>
      <c r="K122" s="64"/>
      <c r="L122" s="64"/>
      <c r="M122" s="64"/>
      <c r="N122" s="64"/>
      <c r="O122" s="64"/>
      <c r="P122" s="64"/>
      <c r="Q122" s="64"/>
      <c r="R122" s="64"/>
      <c r="S122" s="64"/>
      <c r="T122" s="64"/>
      <c r="U122" s="64"/>
      <c r="V122" s="64"/>
      <c r="W122" s="64"/>
      <c r="X122" s="64"/>
      <c r="Y122" s="64"/>
      <c r="Z122" s="64"/>
      <c r="AA122" s="64"/>
      <c r="AB122" s="64"/>
      <c r="AC122" s="64"/>
      <c r="AD122" s="64"/>
      <c r="AE122" s="64"/>
      <c r="AF122" s="64"/>
      <c r="AG122" s="64"/>
      <c r="AH122" s="64"/>
      <c r="AI122" s="64"/>
      <c r="AJ122" s="64"/>
      <c r="AK122" s="64"/>
    </row>
    <row r="123" spans="1:37">
      <c r="A123" s="64"/>
      <c r="B123" s="64"/>
      <c r="C123" s="64"/>
      <c r="D123" s="64"/>
      <c r="E123" s="64"/>
      <c r="F123" s="64"/>
      <c r="G123" s="64"/>
      <c r="H123" s="64"/>
      <c r="I123" s="64"/>
      <c r="J123" s="64"/>
      <c r="K123" s="64"/>
      <c r="L123" s="64"/>
      <c r="M123" s="64"/>
      <c r="N123" s="64"/>
      <c r="O123" s="64"/>
      <c r="P123" s="64"/>
      <c r="Q123" s="64"/>
      <c r="R123" s="64"/>
      <c r="S123" s="64"/>
      <c r="T123" s="64"/>
      <c r="U123" s="64"/>
      <c r="V123" s="64"/>
      <c r="W123" s="64"/>
      <c r="X123" s="64"/>
      <c r="Y123" s="64"/>
      <c r="Z123" s="64"/>
      <c r="AA123" s="64"/>
      <c r="AB123" s="64"/>
      <c r="AC123" s="64"/>
      <c r="AD123" s="64"/>
      <c r="AE123" s="64"/>
      <c r="AF123" s="64"/>
      <c r="AG123" s="64"/>
      <c r="AH123" s="64"/>
      <c r="AI123" s="64"/>
      <c r="AJ123" s="64"/>
      <c r="AK123" s="64"/>
    </row>
    <row r="124" spans="1:37">
      <c r="A124" s="64"/>
      <c r="B124" s="64"/>
      <c r="C124" s="64"/>
      <c r="D124" s="64"/>
      <c r="E124" s="64"/>
      <c r="F124" s="64"/>
      <c r="G124" s="64"/>
      <c r="H124" s="64"/>
      <c r="I124" s="64"/>
      <c r="J124" s="64"/>
      <c r="K124" s="64"/>
      <c r="L124" s="64"/>
      <c r="M124" s="64"/>
      <c r="N124" s="64"/>
      <c r="O124" s="64"/>
      <c r="P124" s="64"/>
      <c r="Q124" s="64"/>
      <c r="R124" s="64"/>
      <c r="S124" s="64"/>
      <c r="T124" s="64"/>
      <c r="U124" s="64"/>
      <c r="V124" s="64"/>
      <c r="W124" s="64"/>
      <c r="X124" s="64"/>
      <c r="Y124" s="64"/>
      <c r="Z124" s="64"/>
      <c r="AA124" s="64"/>
      <c r="AB124" s="64"/>
      <c r="AC124" s="64"/>
      <c r="AD124" s="64"/>
      <c r="AE124" s="64"/>
      <c r="AF124" s="64"/>
      <c r="AG124" s="64"/>
      <c r="AH124" s="64"/>
      <c r="AI124" s="64"/>
      <c r="AJ124" s="64"/>
      <c r="AK124" s="64"/>
    </row>
    <row r="125" spans="1:37">
      <c r="A125" s="64"/>
      <c r="B125" s="64"/>
      <c r="C125" s="64"/>
      <c r="D125" s="64"/>
      <c r="E125" s="64"/>
      <c r="F125" s="64"/>
      <c r="G125" s="64"/>
      <c r="H125" s="64"/>
      <c r="I125" s="64"/>
      <c r="J125" s="64"/>
      <c r="K125" s="64"/>
      <c r="L125" s="64"/>
      <c r="M125" s="64"/>
      <c r="N125" s="64"/>
      <c r="O125" s="64"/>
      <c r="P125" s="64"/>
      <c r="Q125" s="64"/>
      <c r="R125" s="64"/>
      <c r="S125" s="64"/>
      <c r="T125" s="64"/>
      <c r="U125" s="64"/>
      <c r="V125" s="64"/>
      <c r="W125" s="64"/>
      <c r="X125" s="64"/>
      <c r="Y125" s="64"/>
      <c r="Z125" s="64"/>
      <c r="AA125" s="64"/>
      <c r="AB125" s="64"/>
      <c r="AC125" s="64"/>
      <c r="AD125" s="64"/>
      <c r="AE125" s="64"/>
      <c r="AF125" s="64"/>
      <c r="AG125" s="64"/>
      <c r="AH125" s="64"/>
      <c r="AI125" s="64"/>
      <c r="AJ125" s="64"/>
      <c r="AK125" s="64"/>
    </row>
    <row r="126" spans="1:37">
      <c r="A126" s="64"/>
      <c r="B126" s="64"/>
      <c r="C126" s="64"/>
      <c r="D126" s="64"/>
      <c r="E126" s="64"/>
      <c r="F126" s="64"/>
      <c r="G126" s="64"/>
      <c r="H126" s="64"/>
      <c r="I126" s="64"/>
      <c r="J126" s="64"/>
      <c r="K126" s="64"/>
      <c r="L126" s="64"/>
      <c r="M126" s="64"/>
      <c r="N126" s="64"/>
      <c r="O126" s="64"/>
      <c r="P126" s="64"/>
      <c r="Q126" s="64"/>
      <c r="R126" s="64"/>
      <c r="S126" s="64"/>
      <c r="T126" s="64"/>
      <c r="U126" s="64"/>
      <c r="V126" s="64"/>
      <c r="W126" s="64"/>
      <c r="X126" s="64"/>
      <c r="Y126" s="64"/>
      <c r="Z126" s="64"/>
      <c r="AA126" s="64"/>
      <c r="AB126" s="64"/>
      <c r="AC126" s="64"/>
      <c r="AD126" s="64"/>
      <c r="AE126" s="64"/>
      <c r="AF126" s="64"/>
      <c r="AG126" s="64"/>
      <c r="AH126" s="64"/>
      <c r="AI126" s="64"/>
      <c r="AJ126" s="64"/>
      <c r="AK126" s="64"/>
    </row>
    <row r="127" spans="1:37">
      <c r="A127" s="64"/>
      <c r="B127" s="64"/>
      <c r="C127" s="64"/>
      <c r="D127" s="64"/>
      <c r="E127" s="64"/>
      <c r="F127" s="64"/>
      <c r="G127" s="64"/>
      <c r="H127" s="64"/>
      <c r="I127" s="64"/>
      <c r="J127" s="64"/>
      <c r="K127" s="64"/>
      <c r="L127" s="64"/>
      <c r="M127" s="64"/>
      <c r="N127" s="64"/>
      <c r="O127" s="64"/>
      <c r="P127" s="64"/>
      <c r="Q127" s="64"/>
      <c r="R127" s="64"/>
      <c r="S127" s="64"/>
      <c r="T127" s="64"/>
      <c r="U127" s="64"/>
      <c r="V127" s="64"/>
      <c r="W127" s="64"/>
      <c r="X127" s="64"/>
      <c r="Y127" s="64"/>
      <c r="Z127" s="64"/>
      <c r="AA127" s="64"/>
      <c r="AB127" s="64"/>
      <c r="AC127" s="64"/>
      <c r="AD127" s="64"/>
      <c r="AE127" s="64"/>
      <c r="AF127" s="64"/>
      <c r="AG127" s="64"/>
      <c r="AH127" s="64"/>
      <c r="AI127" s="64"/>
      <c r="AJ127" s="64"/>
      <c r="AK127" s="64"/>
    </row>
    <row r="128" spans="1:37">
      <c r="A128" s="64"/>
      <c r="B128" s="64"/>
      <c r="C128" s="64"/>
      <c r="D128" s="64"/>
      <c r="E128" s="64"/>
      <c r="F128" s="64"/>
      <c r="G128" s="64"/>
      <c r="H128" s="64"/>
      <c r="I128" s="64"/>
      <c r="J128" s="64"/>
      <c r="K128" s="64"/>
      <c r="L128" s="64"/>
      <c r="M128" s="64"/>
      <c r="N128" s="64"/>
      <c r="O128" s="64"/>
      <c r="P128" s="64"/>
      <c r="Q128" s="64"/>
      <c r="R128" s="64"/>
      <c r="S128" s="64"/>
      <c r="T128" s="64"/>
      <c r="U128" s="64"/>
      <c r="V128" s="64"/>
      <c r="W128" s="64"/>
      <c r="X128" s="64"/>
      <c r="Y128" s="64"/>
      <c r="Z128" s="64"/>
      <c r="AA128" s="64"/>
      <c r="AB128" s="64"/>
      <c r="AC128" s="64"/>
      <c r="AD128" s="64"/>
      <c r="AE128" s="64"/>
      <c r="AF128" s="64"/>
      <c r="AG128" s="64"/>
      <c r="AH128" s="64"/>
      <c r="AI128" s="64"/>
      <c r="AJ128" s="64"/>
      <c r="AK128" s="64"/>
    </row>
    <row r="129" spans="1:37">
      <c r="A129" s="64"/>
      <c r="B129" s="64"/>
      <c r="C129" s="64"/>
      <c r="D129" s="64"/>
      <c r="E129" s="64"/>
      <c r="F129" s="64"/>
      <c r="G129" s="64"/>
      <c r="H129" s="64"/>
      <c r="I129" s="64"/>
      <c r="J129" s="64"/>
      <c r="K129" s="64"/>
      <c r="L129" s="64"/>
      <c r="M129" s="64"/>
      <c r="N129" s="64"/>
      <c r="O129" s="64"/>
      <c r="P129" s="64"/>
      <c r="Q129" s="64"/>
      <c r="R129" s="64"/>
      <c r="S129" s="64"/>
      <c r="T129" s="64"/>
      <c r="U129" s="64"/>
      <c r="V129" s="64"/>
      <c r="W129" s="64"/>
      <c r="X129" s="64"/>
      <c r="Y129" s="64"/>
      <c r="Z129" s="64"/>
      <c r="AA129" s="64"/>
      <c r="AB129" s="64"/>
      <c r="AC129" s="64"/>
      <c r="AD129" s="64"/>
      <c r="AE129" s="64"/>
      <c r="AF129" s="64"/>
      <c r="AG129" s="64"/>
      <c r="AH129" s="64"/>
      <c r="AI129" s="64"/>
      <c r="AJ129" s="64"/>
      <c r="AK129" s="64"/>
    </row>
    <row r="130" spans="1:37">
      <c r="A130" s="64"/>
      <c r="B130" s="64"/>
      <c r="C130" s="64"/>
      <c r="D130" s="64"/>
      <c r="E130" s="64"/>
      <c r="F130" s="64"/>
      <c r="G130" s="64"/>
      <c r="H130" s="64"/>
      <c r="I130" s="64"/>
      <c r="J130" s="64"/>
      <c r="K130" s="64"/>
      <c r="L130" s="64"/>
      <c r="M130" s="64"/>
      <c r="N130" s="64"/>
      <c r="O130" s="64"/>
      <c r="P130" s="64"/>
      <c r="Q130" s="64"/>
      <c r="R130" s="64"/>
      <c r="S130" s="64"/>
      <c r="T130" s="64"/>
      <c r="U130" s="64"/>
      <c r="V130" s="64"/>
      <c r="W130" s="64"/>
      <c r="X130" s="64"/>
      <c r="Y130" s="64"/>
      <c r="Z130" s="64"/>
      <c r="AA130" s="64"/>
      <c r="AB130" s="64"/>
      <c r="AC130" s="64"/>
      <c r="AD130" s="64"/>
      <c r="AE130" s="64"/>
      <c r="AF130" s="64"/>
      <c r="AG130" s="64"/>
      <c r="AH130" s="64"/>
      <c r="AI130" s="64"/>
      <c r="AJ130" s="64"/>
      <c r="AK130" s="64"/>
    </row>
    <row r="131" spans="1:37">
      <c r="A131" s="64"/>
      <c r="B131" s="64"/>
      <c r="C131" s="64"/>
      <c r="D131" s="64"/>
      <c r="E131" s="64"/>
      <c r="F131" s="64"/>
      <c r="G131" s="64"/>
      <c r="H131" s="64"/>
      <c r="I131" s="64"/>
      <c r="J131" s="64"/>
      <c r="K131" s="64"/>
      <c r="L131" s="64"/>
      <c r="M131" s="64"/>
      <c r="N131" s="64"/>
      <c r="O131" s="64"/>
      <c r="P131" s="64"/>
      <c r="Q131" s="64"/>
      <c r="R131" s="64"/>
      <c r="S131" s="64"/>
      <c r="T131" s="64"/>
      <c r="U131" s="64"/>
      <c r="V131" s="64"/>
      <c r="W131" s="64"/>
      <c r="X131" s="64"/>
      <c r="Y131" s="64"/>
      <c r="Z131" s="64"/>
      <c r="AA131" s="64"/>
      <c r="AB131" s="64"/>
      <c r="AC131" s="64"/>
      <c r="AD131" s="64"/>
      <c r="AE131" s="64"/>
      <c r="AF131" s="64"/>
      <c r="AG131" s="64"/>
      <c r="AH131" s="64"/>
      <c r="AI131" s="64"/>
      <c r="AJ131" s="64"/>
      <c r="AK131" s="64"/>
    </row>
    <row r="132" spans="1:37">
      <c r="A132" s="64"/>
      <c r="B132" s="64"/>
      <c r="C132" s="64"/>
      <c r="D132" s="64"/>
      <c r="E132" s="64"/>
      <c r="F132" s="64"/>
      <c r="G132" s="64"/>
      <c r="H132" s="64"/>
      <c r="I132" s="64"/>
      <c r="J132" s="64"/>
      <c r="K132" s="64"/>
      <c r="L132" s="64"/>
      <c r="M132" s="64"/>
      <c r="N132" s="64"/>
      <c r="O132" s="64"/>
      <c r="P132" s="64"/>
      <c r="Q132" s="64"/>
      <c r="R132" s="64"/>
      <c r="S132" s="64"/>
      <c r="T132" s="64"/>
      <c r="U132" s="64"/>
      <c r="V132" s="64"/>
      <c r="W132" s="64"/>
      <c r="X132" s="64"/>
      <c r="Y132" s="64"/>
      <c r="Z132" s="64"/>
      <c r="AA132" s="64"/>
      <c r="AB132" s="64"/>
      <c r="AC132" s="64"/>
      <c r="AD132" s="64"/>
      <c r="AE132" s="64"/>
      <c r="AF132" s="64"/>
      <c r="AG132" s="64"/>
      <c r="AH132" s="64"/>
      <c r="AI132" s="64"/>
      <c r="AJ132" s="64"/>
      <c r="AK132" s="64"/>
    </row>
  </sheetData>
  <sheetProtection algorithmName="SHA-512" hashValue="SNFy7QsPP50FK75N6vdoEdZOUp8+4ZZZCTZOji6EBN9hbhWBl0agbmifdnykdT5ZcxysTr+aEY5UaVUIkaV+Pg==" saltValue="wbj77qTm8cTb2c/9sXuMkg==" spinCount="100000" sheet="1" objects="1" scenarios="1"/>
  <mergeCells count="1">
    <mergeCell ref="J8:J9"/>
  </mergeCells>
  <hyperlinks>
    <hyperlink ref="F1" location="Guide" display="Guide" xr:uid="{00000000-0004-0000-1D00-000000000000}"/>
    <hyperlink ref="F2" location="Input" display="Input" xr:uid="{00000000-0004-0000-1D00-000001000000}"/>
  </hyperlinks>
  <pageMargins left="0.7" right="0.7" top="0.75" bottom="0.75" header="0.3" footer="0.3"/>
  <pageSetup paperSize="9" scale="63" fitToHeight="0" orientation="portrait" r:id="rId1"/>
  <headerFooter>
    <oddFooter>&amp;LNova Scotia Exploration Economics Model&amp;Rwww.indeva.com</oddFooter>
  </headerFooter>
  <colBreaks count="1" manualBreakCount="1">
    <brk id="12" max="1048575" man="1"/>
  </col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6"/>
  </sheetPr>
  <dimension ref="A1:A2"/>
  <sheetViews>
    <sheetView workbookViewId="0"/>
  </sheetViews>
  <sheetFormatPr defaultRowHeight="15"/>
  <cols>
    <col min="1" max="1" width="10.42578125" customWidth="1"/>
  </cols>
  <sheetData>
    <row r="1" spans="1:1" ht="18.75">
      <c r="A1" s="72" t="s">
        <v>756</v>
      </c>
    </row>
    <row r="2" spans="1:1" ht="18.75">
      <c r="A2" s="72" t="s">
        <v>139</v>
      </c>
    </row>
  </sheetData>
  <hyperlinks>
    <hyperlink ref="A1" location="Guide" display="Guide" xr:uid="{00000000-0004-0000-1E00-000000000000}"/>
    <hyperlink ref="A2" location="Input" display="Input" xr:uid="{00000000-0004-0000-1E00-000001000000}"/>
  </hyperlink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theme="6"/>
  </sheetPr>
  <dimension ref="A1:A2"/>
  <sheetViews>
    <sheetView workbookViewId="0"/>
  </sheetViews>
  <sheetFormatPr defaultRowHeight="15"/>
  <cols>
    <col min="1" max="1" width="10.140625" customWidth="1"/>
  </cols>
  <sheetData>
    <row r="1" spans="1:1" ht="18.75">
      <c r="A1" s="72" t="s">
        <v>756</v>
      </c>
    </row>
    <row r="2" spans="1:1" ht="18.75">
      <c r="A2" s="72" t="s">
        <v>139</v>
      </c>
    </row>
  </sheetData>
  <hyperlinks>
    <hyperlink ref="A1" location="Guide" display="Guide" xr:uid="{00000000-0004-0000-1F00-000000000000}"/>
    <hyperlink ref="A2" location="Input" display="Input" xr:uid="{00000000-0004-0000-1F00-000001000000}"/>
  </hyperlink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tabColor theme="6"/>
  </sheetPr>
  <dimension ref="A1:A2"/>
  <sheetViews>
    <sheetView workbookViewId="0"/>
  </sheetViews>
  <sheetFormatPr defaultRowHeight="15"/>
  <cols>
    <col min="1" max="1" width="10" customWidth="1"/>
  </cols>
  <sheetData>
    <row r="1" spans="1:1" ht="18.75">
      <c r="A1" s="72" t="s">
        <v>756</v>
      </c>
    </row>
    <row r="2" spans="1:1" ht="18.75">
      <c r="A2" s="72" t="s">
        <v>139</v>
      </c>
    </row>
  </sheetData>
  <hyperlinks>
    <hyperlink ref="A1" location="Guide" display="Guide" xr:uid="{00000000-0004-0000-2000-000000000000}"/>
    <hyperlink ref="A2" location="Input" display="Input" xr:uid="{00000000-0004-0000-2000-000001000000}"/>
  </hyperlink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theme="6"/>
  </sheetPr>
  <dimension ref="A1:A2"/>
  <sheetViews>
    <sheetView workbookViewId="0"/>
  </sheetViews>
  <sheetFormatPr defaultRowHeight="15"/>
  <cols>
    <col min="1" max="1" width="9.85546875" customWidth="1"/>
  </cols>
  <sheetData>
    <row r="1" spans="1:1" ht="18.75">
      <c r="A1" s="72" t="s">
        <v>756</v>
      </c>
    </row>
    <row r="2" spans="1:1" ht="18.75">
      <c r="A2" s="72" t="s">
        <v>139</v>
      </c>
    </row>
  </sheetData>
  <hyperlinks>
    <hyperlink ref="A1" location="Guide" display="Guide" xr:uid="{00000000-0004-0000-2100-000000000000}"/>
    <hyperlink ref="A2" location="Input" display="Input" xr:uid="{00000000-0004-0000-2100-000001000000}"/>
  </hyperlink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theme="6"/>
  </sheetPr>
  <dimension ref="A1:A2"/>
  <sheetViews>
    <sheetView workbookViewId="0"/>
  </sheetViews>
  <sheetFormatPr defaultRowHeight="15"/>
  <cols>
    <col min="1" max="1" width="9.5703125" customWidth="1"/>
  </cols>
  <sheetData>
    <row r="1" spans="1:1" ht="18.75">
      <c r="A1" s="72" t="s">
        <v>756</v>
      </c>
    </row>
    <row r="2" spans="1:1" ht="18.75">
      <c r="A2" s="72" t="s">
        <v>139</v>
      </c>
    </row>
  </sheetData>
  <hyperlinks>
    <hyperlink ref="A1" location="Guide" display="Guide" xr:uid="{00000000-0004-0000-2200-000000000000}"/>
    <hyperlink ref="A2" location="Input" display="Input" xr:uid="{00000000-0004-0000-2200-000001000000}"/>
  </hyperlink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2">
    <tabColor rgb="FFFFFF00"/>
    <pageSetUpPr fitToPage="1"/>
  </sheetPr>
  <dimension ref="A1:Z184"/>
  <sheetViews>
    <sheetView showGridLines="0" showRowColHeaders="0" zoomScale="90" zoomScaleNormal="90" workbookViewId="0">
      <pane ySplit="2" topLeftCell="A3" activePane="bottomLeft" state="frozen"/>
      <selection activeCell="D43" sqref="D43"/>
      <selection pane="bottomLeft"/>
    </sheetView>
  </sheetViews>
  <sheetFormatPr defaultRowHeight="15"/>
  <cols>
    <col min="1" max="1" width="3.7109375" customWidth="1"/>
    <col min="2" max="2" width="28" customWidth="1"/>
    <col min="3" max="3" width="14.7109375" customWidth="1"/>
    <col min="4" max="4" width="49.85546875" customWidth="1"/>
    <col min="5" max="5" width="16" customWidth="1"/>
  </cols>
  <sheetData>
    <row r="1" spans="1:26" ht="13.5" customHeight="1">
      <c r="A1" s="345"/>
      <c r="B1" s="345"/>
      <c r="C1" s="345"/>
      <c r="D1" s="345"/>
      <c r="E1" s="345"/>
      <c r="F1" s="345"/>
      <c r="G1" s="93" t="s">
        <v>756</v>
      </c>
      <c r="H1" s="345"/>
      <c r="I1" s="345"/>
      <c r="J1" s="345"/>
      <c r="K1" s="345"/>
      <c r="L1" s="345"/>
      <c r="M1" s="345"/>
      <c r="N1" s="79"/>
      <c r="O1" s="79"/>
      <c r="P1" s="79"/>
      <c r="Q1" s="79"/>
      <c r="R1" s="79"/>
      <c r="S1" s="79"/>
      <c r="T1" s="79"/>
      <c r="U1" s="79"/>
      <c r="V1" s="79"/>
      <c r="W1" s="79"/>
      <c r="X1" s="79"/>
      <c r="Y1" s="79"/>
      <c r="Z1" s="79"/>
    </row>
    <row r="2" spans="1:26" ht="13.5" customHeight="1">
      <c r="A2" s="345"/>
      <c r="B2" s="345"/>
      <c r="C2" s="345"/>
      <c r="D2" s="345"/>
      <c r="E2" s="345"/>
      <c r="F2" s="345"/>
      <c r="G2" s="93" t="s">
        <v>139</v>
      </c>
      <c r="H2" s="345"/>
      <c r="I2" s="345"/>
      <c r="J2" s="345"/>
      <c r="K2" s="345"/>
      <c r="L2" s="345"/>
      <c r="M2" s="345"/>
      <c r="N2" s="79"/>
      <c r="O2" s="79"/>
      <c r="P2" s="79"/>
      <c r="Q2" s="79"/>
      <c r="R2" s="79"/>
      <c r="S2" s="79"/>
      <c r="T2" s="79"/>
      <c r="U2" s="79"/>
      <c r="V2" s="79"/>
      <c r="W2" s="79"/>
      <c r="X2" s="79"/>
      <c r="Y2" s="79"/>
      <c r="Z2" s="79"/>
    </row>
    <row r="3" spans="1:26" ht="18" customHeight="1">
      <c r="A3" s="345"/>
      <c r="B3" s="346" t="s">
        <v>877</v>
      </c>
      <c r="C3" s="347"/>
      <c r="D3" s="347"/>
      <c r="E3" s="345"/>
      <c r="F3" s="345"/>
      <c r="G3" s="345"/>
      <c r="H3" s="345"/>
      <c r="I3" s="345"/>
      <c r="J3" s="345"/>
      <c r="K3" s="345"/>
      <c r="L3" s="345"/>
      <c r="M3" s="345"/>
      <c r="N3" s="345"/>
      <c r="O3" s="345"/>
      <c r="P3" s="345"/>
      <c r="Q3" s="345"/>
      <c r="R3" s="345"/>
      <c r="S3" s="345"/>
      <c r="T3" s="345"/>
      <c r="U3" s="345"/>
      <c r="V3" s="345"/>
      <c r="W3" s="345"/>
      <c r="X3" s="345"/>
      <c r="Y3" s="345"/>
      <c r="Z3" s="345"/>
    </row>
    <row r="4" spans="1:26">
      <c r="A4" s="345"/>
      <c r="B4" s="345"/>
      <c r="C4" s="345"/>
      <c r="D4" s="345"/>
      <c r="E4" s="345"/>
      <c r="F4" s="345"/>
      <c r="G4" s="345"/>
      <c r="H4" s="345"/>
      <c r="I4" s="345"/>
      <c r="J4" s="345"/>
      <c r="K4" s="345"/>
      <c r="L4" s="345"/>
      <c r="M4" s="345"/>
      <c r="N4" s="345"/>
      <c r="O4" s="345"/>
      <c r="P4" s="345"/>
      <c r="Q4" s="345"/>
      <c r="R4" s="345"/>
      <c r="S4" s="345"/>
      <c r="T4" s="345"/>
      <c r="U4" s="345"/>
      <c r="V4" s="345"/>
      <c r="W4" s="345"/>
      <c r="X4" s="345"/>
      <c r="Y4" s="345"/>
      <c r="Z4" s="345"/>
    </row>
    <row r="5" spans="1:26" ht="15" customHeight="1">
      <c r="A5" s="345"/>
      <c r="B5" s="575" t="s">
        <v>1043</v>
      </c>
      <c r="C5" s="575"/>
      <c r="D5" s="575"/>
      <c r="E5" s="575"/>
      <c r="F5" s="575"/>
      <c r="G5" s="348"/>
      <c r="H5" s="348"/>
      <c r="I5" s="348"/>
      <c r="J5" s="348"/>
      <c r="K5" s="348"/>
      <c r="L5" s="345"/>
      <c r="M5" s="345"/>
      <c r="N5" s="345"/>
      <c r="O5" s="345"/>
      <c r="P5" s="345"/>
      <c r="Q5" s="345"/>
      <c r="R5" s="345"/>
      <c r="S5" s="345"/>
      <c r="T5" s="345"/>
      <c r="U5" s="345"/>
      <c r="V5" s="345"/>
      <c r="W5" s="345"/>
      <c r="X5" s="345"/>
      <c r="Y5" s="345"/>
      <c r="Z5" s="345"/>
    </row>
    <row r="6" spans="1:26">
      <c r="A6" s="345"/>
      <c r="B6" s="575"/>
      <c r="C6" s="575"/>
      <c r="D6" s="575"/>
      <c r="E6" s="575"/>
      <c r="F6" s="575"/>
      <c r="G6" s="348"/>
      <c r="H6" s="348"/>
      <c r="I6" s="348"/>
      <c r="J6" s="348"/>
      <c r="K6" s="348"/>
      <c r="L6" s="345"/>
      <c r="M6" s="345"/>
      <c r="N6" s="345"/>
      <c r="O6" s="345"/>
      <c r="P6" s="345"/>
      <c r="Q6" s="345"/>
      <c r="R6" s="345"/>
      <c r="S6" s="345"/>
      <c r="T6" s="345"/>
      <c r="U6" s="345"/>
      <c r="V6" s="345"/>
      <c r="W6" s="345"/>
      <c r="X6" s="345"/>
      <c r="Y6" s="345"/>
      <c r="Z6" s="345"/>
    </row>
    <row r="7" spans="1:26">
      <c r="A7" s="345"/>
      <c r="B7" s="575"/>
      <c r="C7" s="575"/>
      <c r="D7" s="575"/>
      <c r="E7" s="575"/>
      <c r="F7" s="575"/>
      <c r="G7" s="348"/>
      <c r="H7" s="348"/>
      <c r="I7" s="348"/>
      <c r="J7" s="348"/>
      <c r="K7" s="348"/>
      <c r="L7" s="345"/>
      <c r="M7" s="345"/>
      <c r="N7" s="345"/>
      <c r="O7" s="345"/>
      <c r="P7" s="345"/>
      <c r="Q7" s="345"/>
      <c r="R7" s="345"/>
      <c r="S7" s="345"/>
      <c r="T7" s="345"/>
      <c r="U7" s="345"/>
      <c r="V7" s="345"/>
      <c r="W7" s="345"/>
      <c r="X7" s="345"/>
      <c r="Y7" s="345"/>
      <c r="Z7" s="345"/>
    </row>
    <row r="8" spans="1:26">
      <c r="A8" s="345"/>
      <c r="B8" s="575"/>
      <c r="C8" s="575"/>
      <c r="D8" s="575"/>
      <c r="E8" s="575"/>
      <c r="F8" s="575"/>
      <c r="G8" s="348"/>
      <c r="H8" s="348"/>
      <c r="I8" s="348"/>
      <c r="J8" s="348"/>
      <c r="K8" s="348"/>
      <c r="L8" s="345"/>
      <c r="M8" s="345"/>
      <c r="N8" s="345"/>
      <c r="O8" s="345"/>
      <c r="P8" s="345"/>
      <c r="Q8" s="345"/>
      <c r="R8" s="345"/>
      <c r="S8" s="345"/>
      <c r="T8" s="345"/>
      <c r="U8" s="345"/>
      <c r="V8" s="345"/>
      <c r="W8" s="345"/>
      <c r="X8" s="345"/>
      <c r="Y8" s="345"/>
      <c r="Z8" s="345"/>
    </row>
    <row r="9" spans="1:26" ht="72.75" customHeight="1">
      <c r="A9" s="345"/>
      <c r="B9" s="575"/>
      <c r="C9" s="575"/>
      <c r="D9" s="575"/>
      <c r="E9" s="575"/>
      <c r="F9" s="575"/>
      <c r="G9" s="348"/>
      <c r="H9" s="348"/>
      <c r="I9" s="348"/>
      <c r="J9" s="348"/>
      <c r="K9" s="348"/>
      <c r="L9" s="345"/>
      <c r="M9" s="345"/>
      <c r="N9" s="345"/>
      <c r="O9" s="345"/>
      <c r="P9" s="345"/>
      <c r="Q9" s="345"/>
      <c r="R9" s="345"/>
      <c r="S9" s="345"/>
      <c r="T9" s="345"/>
      <c r="U9" s="345"/>
      <c r="V9" s="345"/>
      <c r="W9" s="345"/>
      <c r="X9" s="345"/>
      <c r="Y9" s="345"/>
      <c r="Z9" s="345"/>
    </row>
    <row r="10" spans="1:26">
      <c r="A10" s="345"/>
      <c r="B10" s="575" t="s">
        <v>1044</v>
      </c>
      <c r="C10" s="575"/>
      <c r="D10" s="575"/>
      <c r="E10" s="575"/>
      <c r="F10" s="575"/>
      <c r="G10" s="345"/>
      <c r="H10" s="345"/>
      <c r="I10" s="345"/>
      <c r="J10" s="345"/>
      <c r="K10" s="345"/>
      <c r="L10" s="345"/>
      <c r="M10" s="345"/>
      <c r="N10" s="345"/>
      <c r="O10" s="345"/>
      <c r="P10" s="345"/>
      <c r="Q10" s="345"/>
      <c r="R10" s="345"/>
      <c r="S10" s="345"/>
      <c r="T10" s="345"/>
      <c r="U10" s="345"/>
      <c r="V10" s="345"/>
      <c r="W10" s="345"/>
      <c r="X10" s="345"/>
      <c r="Y10" s="345"/>
      <c r="Z10" s="345"/>
    </row>
    <row r="11" spans="1:26">
      <c r="A11" s="345"/>
      <c r="B11" s="575"/>
      <c r="C11" s="575"/>
      <c r="D11" s="575"/>
      <c r="E11" s="575"/>
      <c r="F11" s="575"/>
      <c r="G11" s="345"/>
      <c r="H11" s="345"/>
      <c r="I11" s="345"/>
      <c r="J11" s="345"/>
      <c r="K11" s="345"/>
      <c r="L11" s="345"/>
      <c r="M11" s="345"/>
      <c r="N11" s="345"/>
      <c r="O11" s="345"/>
      <c r="P11" s="345"/>
      <c r="Q11" s="345"/>
      <c r="R11" s="345"/>
      <c r="S11" s="345"/>
      <c r="T11" s="345"/>
      <c r="U11" s="345"/>
      <c r="V11" s="345"/>
      <c r="W11" s="345"/>
      <c r="X11" s="345"/>
      <c r="Y11" s="345"/>
      <c r="Z11" s="345"/>
    </row>
    <row r="12" spans="1:26">
      <c r="A12" s="345"/>
      <c r="B12" s="575"/>
      <c r="C12" s="575"/>
      <c r="D12" s="575"/>
      <c r="E12" s="575"/>
      <c r="F12" s="575"/>
      <c r="G12" s="345"/>
      <c r="H12" s="345"/>
      <c r="I12" s="345"/>
      <c r="J12" s="345"/>
      <c r="K12" s="345"/>
      <c r="L12" s="345"/>
      <c r="M12" s="345"/>
      <c r="N12" s="345"/>
      <c r="O12" s="345"/>
      <c r="P12" s="345"/>
      <c r="Q12" s="345"/>
      <c r="R12" s="345"/>
      <c r="S12" s="345"/>
      <c r="T12" s="345"/>
      <c r="U12" s="345"/>
      <c r="V12" s="345"/>
      <c r="W12" s="345"/>
      <c r="X12" s="345"/>
      <c r="Y12" s="345"/>
      <c r="Z12" s="345"/>
    </row>
    <row r="13" spans="1:26">
      <c r="A13" s="345"/>
      <c r="B13" s="575"/>
      <c r="C13" s="575"/>
      <c r="D13" s="575"/>
      <c r="E13" s="575"/>
      <c r="F13" s="575"/>
      <c r="G13" s="345"/>
      <c r="H13" s="345"/>
      <c r="I13" s="345"/>
      <c r="J13" s="345"/>
      <c r="K13" s="345"/>
      <c r="L13" s="345"/>
      <c r="M13" s="345"/>
      <c r="N13" s="345"/>
      <c r="O13" s="345"/>
      <c r="P13" s="345"/>
      <c r="Q13" s="345"/>
      <c r="R13" s="345"/>
      <c r="S13" s="345"/>
      <c r="T13" s="345"/>
      <c r="U13" s="345"/>
      <c r="V13" s="345"/>
      <c r="W13" s="345"/>
      <c r="X13" s="345"/>
      <c r="Y13" s="345"/>
      <c r="Z13" s="345"/>
    </row>
    <row r="14" spans="1:26" ht="17.25" customHeight="1">
      <c r="A14" s="345"/>
      <c r="B14" s="575"/>
      <c r="C14" s="575"/>
      <c r="D14" s="575"/>
      <c r="E14" s="575"/>
      <c r="F14" s="575"/>
      <c r="G14" s="345"/>
      <c r="H14" s="345"/>
      <c r="I14" s="345"/>
      <c r="J14" s="345"/>
      <c r="K14" s="345"/>
      <c r="L14" s="345"/>
      <c r="M14" s="345"/>
      <c r="N14" s="345"/>
      <c r="O14" s="345"/>
      <c r="P14" s="345"/>
      <c r="Q14" s="345"/>
      <c r="R14" s="345"/>
      <c r="S14" s="345"/>
      <c r="T14" s="345"/>
      <c r="U14" s="345"/>
      <c r="V14" s="345"/>
      <c r="W14" s="345"/>
      <c r="X14" s="345"/>
      <c r="Y14" s="345"/>
      <c r="Z14" s="345"/>
    </row>
    <row r="15" spans="1:26" ht="16.5" customHeight="1">
      <c r="A15" s="345"/>
      <c r="B15" s="353"/>
      <c r="C15" s="353"/>
      <c r="D15" s="353"/>
      <c r="E15" s="353"/>
      <c r="F15" s="353"/>
      <c r="G15" s="345"/>
      <c r="H15" s="345"/>
      <c r="I15" s="345"/>
      <c r="J15" s="345"/>
      <c r="K15" s="345"/>
      <c r="L15" s="345"/>
      <c r="M15" s="345"/>
      <c r="N15" s="345"/>
      <c r="O15" s="345"/>
      <c r="P15" s="345"/>
      <c r="Q15" s="345"/>
      <c r="R15" s="345"/>
      <c r="S15" s="345"/>
      <c r="T15" s="345"/>
      <c r="U15" s="345"/>
      <c r="V15" s="345"/>
      <c r="W15" s="345"/>
      <c r="X15" s="345"/>
      <c r="Y15" s="345"/>
      <c r="Z15" s="345"/>
    </row>
    <row r="16" spans="1:26" ht="40.5" customHeight="1">
      <c r="A16" s="345"/>
      <c r="B16" s="575" t="s">
        <v>886</v>
      </c>
      <c r="C16" s="575"/>
      <c r="D16" s="575"/>
      <c r="E16" s="575"/>
      <c r="F16" s="575"/>
      <c r="G16" s="345"/>
      <c r="H16" s="345"/>
      <c r="I16" s="345"/>
      <c r="J16" s="345"/>
      <c r="K16" s="345"/>
      <c r="L16" s="345"/>
      <c r="M16" s="345"/>
      <c r="N16" s="345"/>
      <c r="O16" s="345"/>
      <c r="P16" s="345"/>
      <c r="Q16" s="345"/>
      <c r="R16" s="345"/>
      <c r="S16" s="345"/>
      <c r="T16" s="345"/>
      <c r="U16" s="345"/>
      <c r="V16" s="345"/>
      <c r="W16" s="345"/>
      <c r="X16" s="345"/>
      <c r="Y16" s="345"/>
      <c r="Z16" s="345"/>
    </row>
    <row r="17" spans="1:26" ht="15.75">
      <c r="A17" s="345"/>
      <c r="B17" s="349" t="s">
        <v>878</v>
      </c>
      <c r="C17" s="350"/>
      <c r="D17" s="350"/>
      <c r="E17" s="345"/>
      <c r="F17" s="351"/>
      <c r="G17" s="345"/>
      <c r="H17" s="345"/>
      <c r="I17" s="345"/>
      <c r="J17" s="345"/>
      <c r="K17" s="345"/>
      <c r="L17" s="345"/>
      <c r="M17" s="345"/>
      <c r="N17" s="345"/>
      <c r="O17" s="345"/>
      <c r="P17" s="345"/>
      <c r="Q17" s="345"/>
      <c r="R17" s="345"/>
      <c r="S17" s="345"/>
      <c r="T17" s="345"/>
      <c r="U17" s="345"/>
      <c r="V17" s="345"/>
      <c r="W17" s="345"/>
      <c r="X17" s="345"/>
      <c r="Y17" s="345"/>
      <c r="Z17" s="345"/>
    </row>
    <row r="18" spans="1:26">
      <c r="A18" s="345"/>
      <c r="B18" s="345"/>
      <c r="C18" s="345"/>
      <c r="D18" s="345"/>
      <c r="E18" s="345"/>
      <c r="F18" s="345"/>
      <c r="G18" s="345"/>
      <c r="H18" s="345"/>
      <c r="I18" s="345"/>
      <c r="J18" s="345"/>
      <c r="K18" s="345"/>
      <c r="L18" s="345"/>
      <c r="M18" s="345"/>
      <c r="N18" s="345"/>
      <c r="O18" s="345"/>
      <c r="P18" s="345"/>
      <c r="Q18" s="345"/>
      <c r="R18" s="345"/>
      <c r="S18" s="345"/>
      <c r="T18" s="345"/>
      <c r="U18" s="345"/>
      <c r="V18" s="345"/>
      <c r="W18" s="345"/>
      <c r="X18" s="345"/>
      <c r="Y18" s="345"/>
      <c r="Z18" s="345"/>
    </row>
    <row r="19" spans="1:26">
      <c r="A19" s="345"/>
      <c r="B19" s="347" t="s">
        <v>571</v>
      </c>
      <c r="C19" s="575" t="s">
        <v>887</v>
      </c>
      <c r="D19" s="575"/>
      <c r="E19" s="575"/>
      <c r="F19" s="575"/>
      <c r="G19" s="345"/>
      <c r="H19" s="345"/>
      <c r="I19" s="345"/>
      <c r="J19" s="345"/>
      <c r="K19" s="345"/>
      <c r="L19" s="345"/>
      <c r="M19" s="345"/>
      <c r="N19" s="345"/>
      <c r="O19" s="345"/>
      <c r="P19" s="345"/>
      <c r="Q19" s="345"/>
      <c r="R19" s="345"/>
      <c r="S19" s="345"/>
      <c r="T19" s="345"/>
      <c r="U19" s="345"/>
      <c r="V19" s="345"/>
      <c r="W19" s="345"/>
      <c r="X19" s="345"/>
      <c r="Y19" s="345"/>
      <c r="Z19" s="345"/>
    </row>
    <row r="20" spans="1:26" ht="39" customHeight="1">
      <c r="A20" s="345"/>
      <c r="B20" s="345"/>
      <c r="C20" s="575"/>
      <c r="D20" s="575"/>
      <c r="E20" s="575"/>
      <c r="F20" s="575"/>
      <c r="G20" s="345"/>
      <c r="H20" s="345"/>
      <c r="I20" s="345"/>
      <c r="J20" s="345"/>
      <c r="K20" s="345"/>
      <c r="L20" s="345"/>
      <c r="M20" s="345"/>
      <c r="N20" s="345"/>
      <c r="O20" s="345"/>
      <c r="P20" s="345"/>
      <c r="Q20" s="345"/>
      <c r="R20" s="345"/>
      <c r="S20" s="345"/>
      <c r="T20" s="345"/>
      <c r="U20" s="345"/>
      <c r="V20" s="345"/>
      <c r="W20" s="345"/>
      <c r="X20" s="345"/>
      <c r="Y20" s="345"/>
      <c r="Z20" s="345"/>
    </row>
    <row r="21" spans="1:26">
      <c r="A21" s="345"/>
      <c r="B21" s="347" t="s">
        <v>872</v>
      </c>
      <c r="C21" s="575" t="s">
        <v>888</v>
      </c>
      <c r="D21" s="575"/>
      <c r="E21" s="575"/>
      <c r="F21" s="575"/>
      <c r="G21" s="345"/>
      <c r="H21" s="345"/>
      <c r="I21" s="345"/>
      <c r="J21" s="345"/>
      <c r="K21" s="345"/>
      <c r="L21" s="345"/>
      <c r="M21" s="345"/>
      <c r="N21" s="345"/>
      <c r="O21" s="345"/>
      <c r="P21" s="345"/>
      <c r="Q21" s="345"/>
      <c r="R21" s="345"/>
      <c r="S21" s="345"/>
      <c r="T21" s="345"/>
      <c r="U21" s="345"/>
      <c r="V21" s="345"/>
      <c r="W21" s="345"/>
      <c r="X21" s="345"/>
      <c r="Y21" s="345"/>
      <c r="Z21" s="345"/>
    </row>
    <row r="22" spans="1:26" ht="24.75" customHeight="1">
      <c r="A22" s="345"/>
      <c r="B22" s="345"/>
      <c r="C22" s="575"/>
      <c r="D22" s="575"/>
      <c r="E22" s="575"/>
      <c r="F22" s="575"/>
      <c r="G22" s="345"/>
      <c r="H22" s="345"/>
      <c r="I22" s="345"/>
      <c r="J22" s="345"/>
      <c r="K22" s="345"/>
      <c r="L22" s="345"/>
      <c r="M22" s="345"/>
      <c r="N22" s="345"/>
      <c r="O22" s="345"/>
      <c r="P22" s="345"/>
      <c r="Q22" s="345"/>
      <c r="R22" s="345"/>
      <c r="S22" s="345"/>
      <c r="T22" s="345"/>
      <c r="U22" s="345"/>
      <c r="V22" s="345"/>
      <c r="W22" s="345"/>
      <c r="X22" s="345"/>
      <c r="Y22" s="345"/>
      <c r="Z22" s="345"/>
    </row>
    <row r="23" spans="1:26">
      <c r="A23" s="345"/>
      <c r="B23" s="347" t="s">
        <v>835</v>
      </c>
      <c r="C23" s="575" t="s">
        <v>1041</v>
      </c>
      <c r="D23" s="575"/>
      <c r="E23" s="575"/>
      <c r="F23" s="575"/>
      <c r="G23" s="345"/>
      <c r="H23" s="345"/>
      <c r="I23" s="345"/>
      <c r="J23" s="345"/>
      <c r="K23" s="345"/>
      <c r="L23" s="345"/>
      <c r="M23" s="345"/>
      <c r="N23" s="345"/>
      <c r="O23" s="345"/>
      <c r="P23" s="345"/>
      <c r="Q23" s="345"/>
      <c r="R23" s="345"/>
      <c r="S23" s="345"/>
      <c r="T23" s="345"/>
      <c r="U23" s="345"/>
      <c r="V23" s="345"/>
      <c r="W23" s="345"/>
      <c r="X23" s="345"/>
      <c r="Y23" s="345"/>
      <c r="Z23" s="345"/>
    </row>
    <row r="24" spans="1:26">
      <c r="A24" s="345"/>
      <c r="B24" s="345"/>
      <c r="C24" s="575"/>
      <c r="D24" s="575"/>
      <c r="E24" s="575"/>
      <c r="F24" s="575"/>
      <c r="G24" s="345"/>
      <c r="H24" s="345"/>
      <c r="I24" s="345"/>
      <c r="J24" s="345"/>
      <c r="K24" s="345"/>
      <c r="L24" s="345"/>
      <c r="M24" s="345"/>
      <c r="N24" s="345"/>
      <c r="O24" s="345"/>
      <c r="P24" s="345"/>
      <c r="Q24" s="345"/>
      <c r="R24" s="345"/>
      <c r="S24" s="345"/>
      <c r="T24" s="345"/>
      <c r="U24" s="345"/>
      <c r="V24" s="345"/>
      <c r="W24" s="345"/>
      <c r="X24" s="345"/>
      <c r="Y24" s="345"/>
      <c r="Z24" s="345"/>
    </row>
    <row r="25" spans="1:26" ht="22.5" customHeight="1">
      <c r="A25" s="345"/>
      <c r="B25" s="345"/>
      <c r="C25" s="575"/>
      <c r="D25" s="575"/>
      <c r="E25" s="575"/>
      <c r="F25" s="575"/>
      <c r="G25" s="345"/>
      <c r="H25" s="345"/>
      <c r="I25" s="345"/>
      <c r="J25" s="345"/>
      <c r="K25" s="345"/>
      <c r="L25" s="345"/>
      <c r="M25" s="345"/>
      <c r="N25" s="345"/>
      <c r="O25" s="345"/>
      <c r="P25" s="345"/>
      <c r="Q25" s="345"/>
      <c r="R25" s="345"/>
      <c r="S25" s="345"/>
      <c r="T25" s="345"/>
      <c r="U25" s="345"/>
      <c r="V25" s="345"/>
      <c r="W25" s="345"/>
      <c r="X25" s="345"/>
      <c r="Y25" s="345"/>
      <c r="Z25" s="345"/>
    </row>
    <row r="26" spans="1:26" ht="16.5" customHeight="1">
      <c r="A26" s="345"/>
      <c r="B26" s="352" t="s">
        <v>873</v>
      </c>
      <c r="C26" s="575" t="s">
        <v>874</v>
      </c>
      <c r="D26" s="575"/>
      <c r="E26" s="575"/>
      <c r="F26" s="575"/>
      <c r="G26" s="345"/>
      <c r="H26" s="345"/>
      <c r="I26" s="345"/>
      <c r="J26" s="345"/>
      <c r="K26" s="345"/>
      <c r="L26" s="345"/>
      <c r="M26" s="345"/>
      <c r="N26" s="345"/>
      <c r="O26" s="345"/>
      <c r="P26" s="345"/>
      <c r="Q26" s="345"/>
      <c r="R26" s="345"/>
      <c r="S26" s="345"/>
      <c r="T26" s="345"/>
      <c r="U26" s="345"/>
      <c r="V26" s="345"/>
      <c r="W26" s="345"/>
      <c r="X26" s="345"/>
      <c r="Y26" s="345"/>
      <c r="Z26" s="345"/>
    </row>
    <row r="27" spans="1:26" ht="46.5" customHeight="1">
      <c r="A27" s="345"/>
      <c r="B27" s="345"/>
      <c r="C27" s="575"/>
      <c r="D27" s="575"/>
      <c r="E27" s="575"/>
      <c r="F27" s="575"/>
      <c r="G27" s="345"/>
      <c r="H27" s="345"/>
      <c r="I27" s="345"/>
      <c r="J27" s="345"/>
      <c r="K27" s="345"/>
      <c r="L27" s="345"/>
      <c r="M27" s="345"/>
      <c r="N27" s="345"/>
      <c r="O27" s="345"/>
      <c r="P27" s="345"/>
      <c r="Q27" s="345"/>
      <c r="R27" s="345"/>
      <c r="S27" s="345"/>
      <c r="T27" s="345"/>
      <c r="U27" s="345"/>
      <c r="V27" s="345"/>
      <c r="W27" s="345"/>
      <c r="X27" s="345"/>
      <c r="Y27" s="345"/>
      <c r="Z27" s="345"/>
    </row>
    <row r="28" spans="1:26" ht="12" customHeight="1">
      <c r="A28" s="345"/>
      <c r="B28" s="345"/>
      <c r="C28" s="353"/>
      <c r="D28" s="353"/>
      <c r="E28" s="353"/>
      <c r="F28" s="353"/>
      <c r="G28" s="345"/>
      <c r="H28" s="345"/>
      <c r="I28" s="345"/>
      <c r="J28" s="345"/>
      <c r="K28" s="345"/>
      <c r="L28" s="345"/>
      <c r="M28" s="345"/>
      <c r="N28" s="345"/>
      <c r="O28" s="345"/>
      <c r="P28" s="345"/>
      <c r="Q28" s="345"/>
      <c r="R28" s="345"/>
      <c r="S28" s="345"/>
      <c r="T28" s="345"/>
      <c r="U28" s="345"/>
      <c r="V28" s="345"/>
      <c r="W28" s="345"/>
      <c r="X28" s="345"/>
      <c r="Y28" s="345"/>
      <c r="Z28" s="345"/>
    </row>
    <row r="29" spans="1:26">
      <c r="A29" s="345"/>
      <c r="B29" s="346" t="s">
        <v>879</v>
      </c>
      <c r="C29" s="347"/>
      <c r="D29" s="347"/>
      <c r="E29" s="345"/>
      <c r="F29" s="345"/>
      <c r="G29" s="345"/>
      <c r="H29" s="345"/>
      <c r="I29" s="345"/>
      <c r="J29" s="345"/>
      <c r="K29" s="345"/>
      <c r="L29" s="345"/>
      <c r="M29" s="345"/>
      <c r="N29" s="345"/>
      <c r="P29" s="345"/>
      <c r="Q29" s="345"/>
      <c r="R29" s="345"/>
      <c r="S29" s="345"/>
      <c r="T29" s="345"/>
      <c r="U29" s="345"/>
      <c r="V29" s="345"/>
      <c r="W29" s="345"/>
      <c r="X29" s="345"/>
      <c r="Y29" s="345"/>
      <c r="Z29" s="345"/>
    </row>
    <row r="30" spans="1:26">
      <c r="A30" s="345"/>
      <c r="B30" s="345"/>
      <c r="C30" s="345"/>
      <c r="D30" s="345"/>
      <c r="E30" s="345"/>
      <c r="F30" s="345"/>
      <c r="G30" s="345"/>
      <c r="H30" s="345"/>
      <c r="I30" s="345"/>
      <c r="J30" s="345"/>
      <c r="K30" s="345"/>
      <c r="L30" s="345"/>
      <c r="M30" s="345"/>
      <c r="N30" s="345"/>
      <c r="O30" s="345"/>
      <c r="P30" s="345"/>
      <c r="Q30" s="345"/>
      <c r="R30" s="345"/>
      <c r="S30" s="345"/>
      <c r="T30" s="345"/>
      <c r="U30" s="345"/>
      <c r="V30" s="345"/>
      <c r="W30" s="345"/>
      <c r="X30" s="345"/>
      <c r="Y30" s="345"/>
      <c r="Z30" s="345"/>
    </row>
    <row r="31" spans="1:26">
      <c r="A31" s="345"/>
      <c r="B31" s="347" t="s">
        <v>833</v>
      </c>
      <c r="C31" s="575" t="s">
        <v>928</v>
      </c>
      <c r="D31" s="575"/>
      <c r="E31" s="575"/>
      <c r="F31" s="575"/>
      <c r="G31" s="345"/>
      <c r="H31" s="345"/>
      <c r="I31" s="345"/>
      <c r="J31" s="345"/>
      <c r="K31" s="345"/>
      <c r="L31" s="345"/>
      <c r="M31" s="345"/>
      <c r="N31" s="345"/>
      <c r="O31" s="345"/>
      <c r="P31" s="345"/>
      <c r="Q31" s="345"/>
      <c r="R31" s="345"/>
      <c r="S31" s="345"/>
      <c r="T31" s="345"/>
      <c r="U31" s="345"/>
      <c r="V31" s="345"/>
      <c r="W31" s="345"/>
      <c r="X31" s="345"/>
      <c r="Y31" s="345"/>
      <c r="Z31" s="345"/>
    </row>
    <row r="32" spans="1:26">
      <c r="A32" s="345"/>
      <c r="B32" s="345"/>
      <c r="C32" s="575"/>
      <c r="D32" s="575"/>
      <c r="E32" s="575"/>
      <c r="F32" s="575"/>
      <c r="G32" s="345"/>
      <c r="H32" s="345"/>
      <c r="I32" s="345"/>
      <c r="J32" s="345"/>
      <c r="K32" s="345"/>
      <c r="L32" s="345"/>
      <c r="M32" s="345"/>
      <c r="N32" s="345"/>
      <c r="O32" s="345"/>
      <c r="P32" s="345"/>
      <c r="Q32" s="345"/>
      <c r="R32" s="345"/>
      <c r="S32" s="345"/>
      <c r="T32" s="345"/>
      <c r="U32" s="345"/>
      <c r="V32" s="345"/>
      <c r="W32" s="345"/>
      <c r="X32" s="345"/>
      <c r="Y32" s="345"/>
      <c r="Z32" s="345"/>
    </row>
    <row r="33" spans="1:26">
      <c r="A33" s="345"/>
      <c r="B33" s="345"/>
      <c r="C33" s="575"/>
      <c r="D33" s="575"/>
      <c r="E33" s="575"/>
      <c r="F33" s="575"/>
      <c r="G33" s="345"/>
      <c r="H33" s="345"/>
      <c r="I33" s="345"/>
      <c r="J33" s="345"/>
      <c r="K33" s="345"/>
      <c r="L33" s="345"/>
      <c r="M33" s="345"/>
      <c r="N33" s="345"/>
      <c r="O33" s="345"/>
      <c r="P33" s="345"/>
      <c r="Q33" s="345"/>
      <c r="R33" s="345"/>
      <c r="S33" s="345"/>
      <c r="T33" s="345"/>
      <c r="U33" s="345"/>
      <c r="V33" s="345"/>
      <c r="W33" s="345"/>
      <c r="X33" s="345"/>
      <c r="Y33" s="345"/>
      <c r="Z33" s="345"/>
    </row>
    <row r="34" spans="1:26">
      <c r="A34" s="345"/>
      <c r="B34" s="345"/>
      <c r="C34" s="575"/>
      <c r="D34" s="575"/>
      <c r="E34" s="575"/>
      <c r="F34" s="575"/>
      <c r="G34" s="345"/>
      <c r="H34" s="345"/>
      <c r="I34" s="345"/>
      <c r="J34" s="345"/>
      <c r="K34" s="345"/>
      <c r="L34" s="345"/>
      <c r="M34" s="345"/>
      <c r="N34" s="345"/>
      <c r="O34" s="345"/>
      <c r="P34" s="345"/>
      <c r="Q34" s="345"/>
      <c r="R34" s="345"/>
      <c r="S34" s="345"/>
      <c r="T34" s="345"/>
      <c r="U34" s="345"/>
      <c r="V34" s="345"/>
      <c r="W34" s="345"/>
      <c r="X34" s="345"/>
      <c r="Y34" s="345"/>
      <c r="Z34" s="345"/>
    </row>
    <row r="35" spans="1:26" ht="91.5" customHeight="1">
      <c r="A35" s="345"/>
      <c r="B35" s="345"/>
      <c r="C35" s="575"/>
      <c r="D35" s="575"/>
      <c r="E35" s="575"/>
      <c r="F35" s="575"/>
      <c r="G35" s="345"/>
      <c r="H35" s="345"/>
      <c r="I35" s="345"/>
      <c r="J35" s="345"/>
      <c r="K35" s="345"/>
      <c r="L35" s="345"/>
      <c r="M35" s="345"/>
      <c r="N35" s="345"/>
      <c r="O35" s="345"/>
      <c r="P35" s="345"/>
      <c r="Q35" s="345"/>
      <c r="R35" s="345"/>
      <c r="S35" s="345"/>
      <c r="T35" s="345"/>
      <c r="U35" s="345"/>
      <c r="V35" s="345"/>
      <c r="W35" s="345"/>
      <c r="X35" s="345"/>
      <c r="Y35" s="345"/>
      <c r="Z35" s="345"/>
    </row>
    <row r="36" spans="1:26" ht="13.5" customHeight="1">
      <c r="A36" s="345"/>
      <c r="B36" s="347" t="s">
        <v>835</v>
      </c>
      <c r="C36" s="575" t="s">
        <v>889</v>
      </c>
      <c r="D36" s="575"/>
      <c r="E36" s="575"/>
      <c r="F36" s="575"/>
      <c r="G36" s="345"/>
      <c r="H36" s="345"/>
      <c r="I36" s="345"/>
      <c r="J36" s="345"/>
      <c r="K36" s="345"/>
      <c r="L36" s="345"/>
      <c r="M36" s="345"/>
      <c r="N36" s="345"/>
      <c r="O36" s="345"/>
      <c r="P36" s="345"/>
      <c r="Q36" s="345"/>
      <c r="R36" s="345"/>
      <c r="S36" s="345"/>
      <c r="T36" s="345"/>
      <c r="U36" s="345"/>
      <c r="V36" s="345"/>
      <c r="W36" s="345"/>
      <c r="X36" s="345"/>
      <c r="Y36" s="345"/>
      <c r="Z36" s="345"/>
    </row>
    <row r="37" spans="1:26" ht="79.5" customHeight="1">
      <c r="A37" s="345"/>
      <c r="B37" s="345"/>
      <c r="C37" s="575"/>
      <c r="D37" s="575"/>
      <c r="E37" s="575"/>
      <c r="F37" s="575"/>
      <c r="G37" s="345"/>
      <c r="H37" s="345"/>
      <c r="I37" s="345"/>
      <c r="J37" s="345"/>
      <c r="K37" s="345"/>
      <c r="L37" s="345"/>
      <c r="M37" s="345"/>
      <c r="N37" s="345"/>
      <c r="O37" s="345"/>
      <c r="P37" s="345"/>
      <c r="Q37" s="345"/>
      <c r="R37" s="345"/>
      <c r="S37" s="345"/>
      <c r="T37" s="345"/>
      <c r="U37" s="345"/>
      <c r="V37" s="345"/>
      <c r="W37" s="345"/>
      <c r="X37" s="345"/>
      <c r="Y37" s="345"/>
      <c r="Z37" s="345"/>
    </row>
    <row r="38" spans="1:26" ht="13.5" customHeight="1">
      <c r="A38" s="345"/>
      <c r="B38" s="345"/>
      <c r="C38" s="575"/>
      <c r="D38" s="575"/>
      <c r="E38" s="575"/>
      <c r="F38" s="575"/>
      <c r="G38" s="345"/>
      <c r="H38" s="345"/>
      <c r="I38" s="345"/>
      <c r="J38" s="345"/>
      <c r="K38" s="345"/>
      <c r="L38" s="345"/>
      <c r="M38" s="345"/>
      <c r="N38" s="345"/>
      <c r="O38" s="345"/>
      <c r="P38" s="345"/>
      <c r="Q38" s="345"/>
      <c r="R38" s="345"/>
      <c r="S38" s="345"/>
      <c r="T38" s="345"/>
      <c r="U38" s="345"/>
      <c r="V38" s="345"/>
      <c r="W38" s="345"/>
      <c r="X38" s="345"/>
      <c r="Y38" s="345"/>
      <c r="Z38" s="345"/>
    </row>
    <row r="39" spans="1:26" ht="13.5" customHeight="1">
      <c r="A39" s="345"/>
      <c r="B39" s="345"/>
      <c r="C39" s="353"/>
      <c r="D39" s="353"/>
      <c r="E39" s="353"/>
      <c r="F39" s="353"/>
      <c r="G39" s="345"/>
      <c r="H39" s="345"/>
      <c r="I39" s="345"/>
      <c r="J39" s="345"/>
      <c r="K39" s="345"/>
      <c r="L39" s="345"/>
      <c r="M39" s="345"/>
      <c r="N39" s="345"/>
      <c r="O39" s="345"/>
      <c r="P39" s="345"/>
      <c r="Q39" s="345"/>
      <c r="R39" s="345"/>
      <c r="S39" s="345"/>
      <c r="T39" s="345"/>
      <c r="U39" s="345"/>
      <c r="V39" s="345"/>
      <c r="W39" s="345"/>
      <c r="X39" s="345"/>
      <c r="Y39" s="345"/>
      <c r="Z39" s="345"/>
    </row>
    <row r="40" spans="1:26" ht="13.5" customHeight="1">
      <c r="A40" s="345"/>
      <c r="B40" s="346" t="s">
        <v>875</v>
      </c>
      <c r="C40" s="354"/>
      <c r="D40" s="354"/>
      <c r="E40" s="353"/>
      <c r="F40" s="353"/>
      <c r="G40" s="345"/>
      <c r="H40" s="345"/>
      <c r="I40" s="345"/>
      <c r="J40" s="345"/>
      <c r="K40" s="345"/>
      <c r="L40" s="345"/>
      <c r="M40" s="345"/>
      <c r="N40" s="345"/>
      <c r="O40" s="345"/>
      <c r="P40" s="345"/>
      <c r="Q40" s="345"/>
      <c r="R40" s="345"/>
      <c r="S40" s="345"/>
      <c r="T40" s="345"/>
      <c r="U40" s="345"/>
      <c r="V40" s="345"/>
      <c r="W40" s="345"/>
      <c r="X40" s="345"/>
      <c r="Y40" s="345"/>
      <c r="Z40" s="345"/>
    </row>
    <row r="41" spans="1:26" ht="13.5" customHeight="1">
      <c r="A41" s="345"/>
      <c r="B41" s="345"/>
      <c r="C41" s="345"/>
      <c r="D41" s="345"/>
      <c r="E41" s="345"/>
      <c r="F41" s="345"/>
      <c r="G41" s="345"/>
      <c r="H41" s="345"/>
      <c r="I41" s="345"/>
      <c r="J41" s="345"/>
      <c r="K41" s="345"/>
      <c r="L41" s="345"/>
      <c r="M41" s="345"/>
      <c r="N41" s="345"/>
      <c r="O41" s="345"/>
      <c r="P41" s="345"/>
      <c r="Q41" s="345"/>
      <c r="R41" s="345"/>
      <c r="S41" s="345"/>
      <c r="T41" s="345"/>
      <c r="U41" s="345"/>
      <c r="V41" s="345"/>
      <c r="W41" s="345"/>
      <c r="X41" s="345"/>
      <c r="Y41" s="345"/>
      <c r="Z41" s="345"/>
    </row>
    <row r="42" spans="1:26">
      <c r="A42" s="345"/>
      <c r="B42" s="347" t="s">
        <v>832</v>
      </c>
      <c r="C42" s="575" t="s">
        <v>890</v>
      </c>
      <c r="D42" s="575"/>
      <c r="E42" s="575"/>
      <c r="F42" s="575"/>
      <c r="G42" s="345"/>
      <c r="H42" s="345"/>
      <c r="I42" s="345"/>
      <c r="J42" s="345"/>
      <c r="K42" s="345"/>
      <c r="L42" s="345"/>
      <c r="M42" s="345"/>
      <c r="N42" s="345"/>
      <c r="O42" s="345"/>
      <c r="P42" s="345"/>
      <c r="Q42" s="345"/>
      <c r="R42" s="345"/>
      <c r="S42" s="345"/>
      <c r="T42" s="345"/>
      <c r="U42" s="345"/>
      <c r="V42" s="345"/>
      <c r="W42" s="345"/>
      <c r="X42" s="345"/>
      <c r="Y42" s="345"/>
      <c r="Z42" s="345"/>
    </row>
    <row r="43" spans="1:26">
      <c r="A43" s="345"/>
      <c r="B43" s="345"/>
      <c r="C43" s="575"/>
      <c r="D43" s="575"/>
      <c r="E43" s="575"/>
      <c r="F43" s="575"/>
      <c r="G43" s="345"/>
      <c r="H43" s="345"/>
      <c r="I43" s="345"/>
      <c r="J43" s="345"/>
      <c r="K43" s="345"/>
      <c r="L43" s="345"/>
      <c r="M43" s="345"/>
      <c r="N43" s="345"/>
      <c r="O43" s="345"/>
      <c r="P43" s="345"/>
      <c r="Q43" s="345"/>
      <c r="R43" s="345"/>
      <c r="S43" s="345"/>
      <c r="T43" s="345"/>
      <c r="U43" s="345"/>
      <c r="V43" s="345"/>
      <c r="W43" s="345"/>
      <c r="X43" s="345"/>
      <c r="Y43" s="345"/>
      <c r="Z43" s="345"/>
    </row>
    <row r="44" spans="1:26">
      <c r="A44" s="345"/>
      <c r="B44" s="345"/>
      <c r="C44" s="575"/>
      <c r="D44" s="575"/>
      <c r="E44" s="575"/>
      <c r="F44" s="575"/>
      <c r="G44" s="345"/>
      <c r="H44" s="345"/>
      <c r="I44" s="345"/>
      <c r="J44" s="345"/>
      <c r="K44" s="345"/>
      <c r="L44" s="345"/>
      <c r="M44" s="345"/>
      <c r="N44" s="345"/>
      <c r="O44" s="345"/>
      <c r="P44" s="345"/>
      <c r="Q44" s="345"/>
      <c r="R44" s="345"/>
      <c r="S44" s="345"/>
      <c r="T44" s="345"/>
      <c r="U44" s="345"/>
      <c r="V44" s="345"/>
      <c r="W44" s="345"/>
      <c r="X44" s="345"/>
      <c r="Y44" s="345"/>
      <c r="Z44" s="345"/>
    </row>
    <row r="45" spans="1:26">
      <c r="A45" s="345"/>
      <c r="B45" s="345"/>
      <c r="C45" s="575"/>
      <c r="D45" s="575"/>
      <c r="E45" s="575"/>
      <c r="F45" s="575"/>
      <c r="G45" s="345"/>
      <c r="H45" s="345"/>
      <c r="I45" s="345"/>
      <c r="J45" s="345"/>
      <c r="K45" s="345"/>
      <c r="L45" s="345"/>
      <c r="M45" s="345"/>
      <c r="N45" s="345"/>
      <c r="O45" s="345"/>
      <c r="P45" s="345"/>
      <c r="Q45" s="345"/>
      <c r="R45" s="345"/>
      <c r="S45" s="345"/>
      <c r="T45" s="345"/>
      <c r="U45" s="345"/>
      <c r="V45" s="345"/>
      <c r="W45" s="345"/>
      <c r="X45" s="345"/>
      <c r="Y45" s="345"/>
      <c r="Z45" s="345"/>
    </row>
    <row r="46" spans="1:26" ht="7.5" customHeight="1">
      <c r="A46" s="345"/>
      <c r="B46" s="345"/>
      <c r="C46" s="575"/>
      <c r="D46" s="575"/>
      <c r="E46" s="575"/>
      <c r="F46" s="575"/>
      <c r="G46" s="345"/>
      <c r="H46" s="345"/>
      <c r="I46" s="345"/>
      <c r="J46" s="345"/>
      <c r="K46" s="345"/>
      <c r="L46" s="345"/>
      <c r="M46" s="345"/>
      <c r="N46" s="345"/>
      <c r="O46" s="345"/>
      <c r="P46" s="345"/>
      <c r="Q46" s="345"/>
      <c r="R46" s="345"/>
      <c r="S46" s="345"/>
      <c r="T46" s="345"/>
      <c r="U46" s="345"/>
      <c r="V46" s="345"/>
      <c r="W46" s="345"/>
      <c r="X46" s="345"/>
      <c r="Y46" s="345"/>
      <c r="Z46" s="345"/>
    </row>
    <row r="47" spans="1:26">
      <c r="A47" s="345"/>
      <c r="B47" s="347" t="s">
        <v>876</v>
      </c>
      <c r="C47" s="575" t="s">
        <v>880</v>
      </c>
      <c r="D47" s="575"/>
      <c r="E47" s="575"/>
      <c r="F47" s="575"/>
      <c r="G47" s="345"/>
      <c r="H47" s="345"/>
      <c r="I47" s="345"/>
      <c r="J47" s="345"/>
      <c r="K47" s="345"/>
      <c r="L47" s="345"/>
      <c r="M47" s="345"/>
      <c r="N47" s="345"/>
      <c r="O47" s="345"/>
      <c r="P47" s="345"/>
      <c r="Q47" s="345"/>
      <c r="R47" s="345"/>
      <c r="S47" s="345"/>
      <c r="T47" s="345"/>
      <c r="U47" s="345"/>
      <c r="V47" s="345"/>
      <c r="W47" s="345"/>
      <c r="X47" s="345"/>
      <c r="Y47" s="345"/>
      <c r="Z47" s="345"/>
    </row>
    <row r="48" spans="1:26">
      <c r="A48" s="345"/>
      <c r="B48" s="345"/>
      <c r="C48" s="575"/>
      <c r="D48" s="575"/>
      <c r="E48" s="575"/>
      <c r="F48" s="575"/>
      <c r="G48" s="345"/>
      <c r="H48" s="345"/>
      <c r="I48" s="345"/>
      <c r="J48" s="345"/>
      <c r="K48" s="345"/>
      <c r="L48" s="345"/>
      <c r="M48" s="345"/>
      <c r="N48" s="345"/>
      <c r="O48" s="345"/>
      <c r="P48" s="345"/>
      <c r="Q48" s="345"/>
      <c r="R48" s="345"/>
      <c r="S48" s="345"/>
      <c r="T48" s="345"/>
      <c r="U48" s="345"/>
      <c r="V48" s="345"/>
      <c r="W48" s="345"/>
      <c r="X48" s="345"/>
      <c r="Y48" s="345"/>
      <c r="Z48" s="345"/>
    </row>
    <row r="49" spans="1:26">
      <c r="A49" s="345"/>
      <c r="B49" s="345"/>
      <c r="C49" s="575"/>
      <c r="D49" s="575"/>
      <c r="E49" s="575"/>
      <c r="F49" s="575"/>
      <c r="G49" s="345"/>
      <c r="H49" s="345"/>
      <c r="I49" s="345"/>
      <c r="J49" s="345"/>
      <c r="K49" s="345"/>
      <c r="L49" s="345"/>
      <c r="M49" s="345"/>
      <c r="N49" s="345"/>
      <c r="O49" s="345"/>
      <c r="P49" s="345"/>
      <c r="Q49" s="345"/>
      <c r="R49" s="345"/>
      <c r="S49" s="345"/>
      <c r="T49" s="345"/>
      <c r="U49" s="345"/>
      <c r="V49" s="345"/>
      <c r="W49" s="345"/>
      <c r="X49" s="345"/>
      <c r="Y49" s="345"/>
      <c r="Z49" s="345"/>
    </row>
    <row r="50" spans="1:26">
      <c r="A50" s="345"/>
      <c r="B50" s="345"/>
      <c r="C50" s="345"/>
      <c r="D50" s="345"/>
      <c r="E50" s="345"/>
      <c r="F50" s="345"/>
      <c r="G50" s="345"/>
      <c r="H50" s="345"/>
      <c r="I50" s="345"/>
      <c r="J50" s="345"/>
      <c r="K50" s="345"/>
      <c r="L50" s="345"/>
      <c r="M50" s="345"/>
      <c r="N50" s="345"/>
      <c r="O50" s="345"/>
      <c r="P50" s="345"/>
      <c r="Q50" s="345"/>
      <c r="R50" s="345"/>
      <c r="S50" s="345"/>
      <c r="T50" s="345"/>
      <c r="U50" s="345"/>
      <c r="V50" s="345"/>
      <c r="W50" s="345"/>
      <c r="X50" s="345"/>
      <c r="Y50" s="345"/>
      <c r="Z50" s="345"/>
    </row>
    <row r="51" spans="1:26">
      <c r="A51" s="345"/>
      <c r="B51" s="345"/>
      <c r="C51" s="345"/>
      <c r="D51" s="345"/>
      <c r="E51" s="345"/>
      <c r="F51" s="345"/>
      <c r="G51" s="345"/>
      <c r="H51" s="345"/>
      <c r="I51" s="345"/>
      <c r="J51" s="345"/>
      <c r="K51" s="345"/>
      <c r="L51" s="345"/>
      <c r="M51" s="345"/>
      <c r="N51" s="345"/>
      <c r="O51" s="345"/>
      <c r="P51" s="345"/>
      <c r="Q51" s="345"/>
      <c r="R51" s="345"/>
      <c r="S51" s="345"/>
      <c r="T51" s="345"/>
      <c r="U51" s="345"/>
      <c r="V51" s="345"/>
      <c r="W51" s="345"/>
      <c r="X51" s="345"/>
      <c r="Y51" s="345"/>
      <c r="Z51" s="345"/>
    </row>
    <row r="52" spans="1:26">
      <c r="A52" s="345"/>
      <c r="B52" s="345"/>
      <c r="C52" s="345"/>
      <c r="D52" s="345"/>
      <c r="E52" s="345"/>
      <c r="F52" s="345"/>
      <c r="G52" s="345"/>
      <c r="H52" s="345"/>
      <c r="I52" s="345"/>
      <c r="J52" s="345"/>
      <c r="K52" s="345"/>
      <c r="L52" s="345"/>
      <c r="M52" s="345"/>
      <c r="N52" s="345"/>
      <c r="O52" s="345"/>
      <c r="P52" s="345"/>
      <c r="Q52" s="345"/>
      <c r="R52" s="345"/>
      <c r="S52" s="345"/>
      <c r="T52" s="345"/>
      <c r="U52" s="345"/>
      <c r="V52" s="345"/>
      <c r="W52" s="345"/>
      <c r="X52" s="345"/>
      <c r="Y52" s="345"/>
      <c r="Z52" s="345"/>
    </row>
    <row r="53" spans="1:26">
      <c r="A53" s="345"/>
      <c r="B53" s="345"/>
      <c r="C53" s="345"/>
      <c r="D53" s="345"/>
      <c r="E53" s="345"/>
      <c r="F53" s="345"/>
      <c r="G53" s="345"/>
      <c r="H53" s="345"/>
      <c r="I53" s="345"/>
      <c r="J53" s="345"/>
      <c r="K53" s="345"/>
      <c r="L53" s="345"/>
      <c r="M53" s="345"/>
      <c r="N53" s="345"/>
      <c r="O53" s="345"/>
      <c r="P53" s="345"/>
      <c r="Q53" s="345"/>
      <c r="R53" s="345"/>
      <c r="S53" s="345"/>
      <c r="T53" s="345"/>
      <c r="U53" s="345"/>
      <c r="V53" s="345"/>
      <c r="W53" s="345"/>
      <c r="X53" s="345"/>
      <c r="Y53" s="345"/>
      <c r="Z53" s="345"/>
    </row>
    <row r="54" spans="1:26">
      <c r="A54" s="345"/>
      <c r="B54" s="346" t="s">
        <v>892</v>
      </c>
      <c r="C54" s="347"/>
      <c r="D54" s="347"/>
      <c r="E54" s="345"/>
      <c r="F54" s="345"/>
      <c r="G54" s="345"/>
      <c r="H54" s="345"/>
      <c r="I54" s="345"/>
      <c r="J54" s="345"/>
      <c r="K54" s="345"/>
      <c r="L54" s="345"/>
      <c r="M54" s="345"/>
      <c r="N54" s="345"/>
      <c r="O54" s="345"/>
      <c r="P54" s="345"/>
      <c r="Q54" s="345"/>
      <c r="R54" s="345"/>
      <c r="S54" s="345"/>
      <c r="T54" s="345"/>
      <c r="U54" s="345"/>
      <c r="V54" s="345"/>
      <c r="W54" s="345"/>
      <c r="X54" s="345"/>
      <c r="Y54" s="345"/>
      <c r="Z54" s="345"/>
    </row>
    <row r="55" spans="1:26">
      <c r="A55" s="345"/>
      <c r="B55" s="345"/>
      <c r="C55" s="345"/>
      <c r="D55" s="345"/>
      <c r="E55" s="345"/>
      <c r="F55" s="345"/>
      <c r="G55" s="345"/>
      <c r="H55" s="345"/>
      <c r="I55" s="345"/>
      <c r="J55" s="345"/>
      <c r="K55" s="345"/>
      <c r="L55" s="345"/>
      <c r="M55" s="345"/>
      <c r="N55" s="345"/>
      <c r="O55" s="345"/>
      <c r="P55" s="345"/>
      <c r="Q55" s="345"/>
      <c r="R55" s="345"/>
      <c r="S55" s="345"/>
      <c r="T55" s="345"/>
      <c r="U55" s="345"/>
      <c r="V55" s="345"/>
      <c r="W55" s="345"/>
      <c r="X55" s="345"/>
      <c r="Y55" s="345"/>
      <c r="Z55" s="345"/>
    </row>
    <row r="56" spans="1:26" ht="15" customHeight="1">
      <c r="A56" s="345"/>
      <c r="B56" s="347" t="s">
        <v>832</v>
      </c>
      <c r="C56" s="575" t="s">
        <v>891</v>
      </c>
      <c r="D56" s="575"/>
      <c r="E56" s="575"/>
      <c r="F56" s="575"/>
      <c r="G56" s="345"/>
      <c r="H56" s="345"/>
      <c r="I56" s="345"/>
      <c r="J56" s="345"/>
      <c r="K56" s="345"/>
      <c r="L56" s="345"/>
      <c r="M56" s="345"/>
      <c r="N56" s="345"/>
      <c r="O56" s="345"/>
      <c r="P56" s="345"/>
      <c r="Q56" s="345"/>
      <c r="R56" s="345"/>
      <c r="S56" s="345"/>
      <c r="T56" s="345"/>
      <c r="U56" s="345"/>
      <c r="V56" s="345"/>
      <c r="W56" s="345"/>
      <c r="X56" s="345"/>
      <c r="Y56" s="345"/>
      <c r="Z56" s="345"/>
    </row>
    <row r="57" spans="1:26">
      <c r="A57" s="345"/>
      <c r="B57" s="345"/>
      <c r="C57" s="575"/>
      <c r="D57" s="575"/>
      <c r="E57" s="575"/>
      <c r="F57" s="575"/>
      <c r="G57" s="345"/>
      <c r="H57" s="345"/>
      <c r="I57" s="345"/>
      <c r="J57" s="345"/>
      <c r="K57" s="345"/>
      <c r="L57" s="345"/>
      <c r="M57" s="345"/>
      <c r="N57" s="345"/>
      <c r="O57" s="345"/>
      <c r="P57" s="345"/>
      <c r="Q57" s="345"/>
      <c r="R57" s="345"/>
      <c r="S57" s="345"/>
      <c r="T57" s="345"/>
      <c r="U57" s="345"/>
      <c r="V57" s="345"/>
      <c r="W57" s="345"/>
      <c r="X57" s="345"/>
      <c r="Y57" s="345"/>
      <c r="Z57" s="345"/>
    </row>
    <row r="58" spans="1:26">
      <c r="A58" s="345"/>
      <c r="B58" s="345"/>
      <c r="C58" s="575"/>
      <c r="D58" s="575"/>
      <c r="E58" s="575"/>
      <c r="F58" s="575"/>
      <c r="G58" s="345"/>
      <c r="H58" s="345"/>
      <c r="I58" s="345"/>
      <c r="J58" s="345"/>
      <c r="K58" s="345"/>
      <c r="L58" s="345"/>
      <c r="M58" s="345"/>
      <c r="N58" s="345"/>
      <c r="O58" s="345"/>
      <c r="P58" s="345"/>
      <c r="Q58" s="345"/>
      <c r="R58" s="345"/>
      <c r="S58" s="345"/>
      <c r="T58" s="345"/>
      <c r="U58" s="345"/>
      <c r="V58" s="345"/>
      <c r="W58" s="345"/>
      <c r="X58" s="345"/>
      <c r="Y58" s="345"/>
      <c r="Z58" s="345"/>
    </row>
    <row r="59" spans="1:26">
      <c r="A59" s="345"/>
      <c r="B59" s="345"/>
      <c r="C59" s="575"/>
      <c r="D59" s="575"/>
      <c r="E59" s="575"/>
      <c r="F59" s="575"/>
      <c r="G59" s="345"/>
      <c r="H59" s="345"/>
      <c r="I59" s="345"/>
      <c r="J59" s="345"/>
      <c r="K59" s="345"/>
      <c r="L59" s="345"/>
      <c r="M59" s="345"/>
      <c r="N59" s="345"/>
      <c r="O59" s="345"/>
      <c r="P59" s="345"/>
      <c r="Q59" s="345"/>
      <c r="R59" s="345"/>
      <c r="S59" s="345"/>
      <c r="T59" s="345"/>
      <c r="U59" s="345"/>
      <c r="V59" s="345"/>
      <c r="W59" s="345"/>
      <c r="X59" s="345"/>
      <c r="Y59" s="345"/>
      <c r="Z59" s="345"/>
    </row>
    <row r="60" spans="1:26">
      <c r="A60" s="345"/>
      <c r="B60" s="345"/>
      <c r="C60" s="575"/>
      <c r="D60" s="575"/>
      <c r="E60" s="575"/>
      <c r="F60" s="575"/>
      <c r="G60" s="345"/>
      <c r="H60" s="345"/>
      <c r="I60" s="345"/>
      <c r="J60" s="345"/>
      <c r="K60" s="345"/>
      <c r="L60" s="345"/>
      <c r="M60" s="345"/>
      <c r="N60" s="345"/>
      <c r="O60" s="345"/>
      <c r="P60" s="345"/>
      <c r="Q60" s="345"/>
      <c r="R60" s="345"/>
      <c r="S60" s="345"/>
      <c r="T60" s="345"/>
      <c r="U60" s="345"/>
      <c r="V60" s="345"/>
      <c r="W60" s="345"/>
      <c r="X60" s="345"/>
      <c r="Y60" s="345"/>
      <c r="Z60" s="345"/>
    </row>
    <row r="61" spans="1:26">
      <c r="A61" s="345"/>
      <c r="B61" s="345"/>
      <c r="C61" s="575"/>
      <c r="D61" s="575"/>
      <c r="E61" s="575"/>
      <c r="F61" s="575"/>
      <c r="G61" s="345"/>
      <c r="H61" s="345"/>
      <c r="I61" s="345"/>
      <c r="J61" s="345"/>
      <c r="K61" s="345"/>
      <c r="L61" s="345"/>
      <c r="M61" s="345"/>
      <c r="N61" s="345"/>
      <c r="O61" s="345"/>
      <c r="P61" s="345"/>
      <c r="Q61" s="345"/>
      <c r="R61" s="345"/>
      <c r="S61" s="345"/>
      <c r="T61" s="345"/>
      <c r="U61" s="345"/>
      <c r="V61" s="345"/>
      <c r="W61" s="345"/>
      <c r="X61" s="345"/>
      <c r="Y61" s="345"/>
      <c r="Z61" s="345"/>
    </row>
    <row r="62" spans="1:26">
      <c r="A62" s="345"/>
      <c r="B62" s="345"/>
      <c r="C62" s="575"/>
      <c r="D62" s="575"/>
      <c r="E62" s="575"/>
      <c r="F62" s="575"/>
      <c r="G62" s="345"/>
      <c r="H62" s="345"/>
      <c r="I62" s="345"/>
      <c r="J62" s="345"/>
      <c r="K62" s="345"/>
      <c r="L62" s="345"/>
      <c r="M62" s="345"/>
      <c r="N62" s="345"/>
      <c r="O62" s="345"/>
      <c r="P62" s="345"/>
      <c r="Q62" s="345"/>
      <c r="R62" s="345"/>
      <c r="S62" s="345"/>
      <c r="T62" s="345"/>
      <c r="U62" s="345"/>
      <c r="V62" s="345"/>
      <c r="W62" s="345"/>
      <c r="X62" s="345"/>
      <c r="Y62" s="345"/>
      <c r="Z62" s="345"/>
    </row>
    <row r="63" spans="1:26">
      <c r="A63" s="345"/>
      <c r="B63" s="345"/>
      <c r="C63" s="345"/>
      <c r="D63" s="345"/>
      <c r="E63" s="345"/>
      <c r="F63" s="345"/>
      <c r="G63" s="345"/>
      <c r="H63" s="345"/>
      <c r="I63" s="345"/>
      <c r="J63" s="345"/>
      <c r="K63" s="345"/>
      <c r="L63" s="345"/>
      <c r="M63" s="345"/>
      <c r="N63" s="345"/>
      <c r="O63" s="345"/>
      <c r="P63" s="345"/>
      <c r="Q63" s="345"/>
      <c r="R63" s="345"/>
      <c r="S63" s="345"/>
      <c r="T63" s="345"/>
      <c r="U63" s="345"/>
      <c r="V63" s="345"/>
      <c r="W63" s="345"/>
      <c r="X63" s="345"/>
      <c r="Y63" s="345"/>
      <c r="Z63" s="345"/>
    </row>
    <row r="64" spans="1:26">
      <c r="A64" s="345"/>
      <c r="B64" s="345"/>
      <c r="C64" s="345"/>
      <c r="D64" s="345"/>
      <c r="E64" s="345"/>
      <c r="F64" s="345"/>
      <c r="G64" s="345"/>
      <c r="H64" s="345"/>
      <c r="I64" s="345"/>
      <c r="J64" s="345"/>
      <c r="K64" s="345"/>
      <c r="L64" s="345"/>
      <c r="M64" s="345"/>
      <c r="N64" s="345"/>
      <c r="O64" s="345"/>
      <c r="P64" s="345"/>
      <c r="Q64" s="345"/>
      <c r="R64" s="345"/>
      <c r="S64" s="345"/>
      <c r="T64" s="345"/>
      <c r="U64" s="345"/>
      <c r="V64" s="345"/>
      <c r="W64" s="345"/>
      <c r="X64" s="345"/>
      <c r="Y64" s="345"/>
      <c r="Z64" s="345"/>
    </row>
    <row r="65" spans="1:26">
      <c r="A65" s="345"/>
      <c r="B65" s="345"/>
      <c r="C65" s="345"/>
      <c r="D65" s="345"/>
      <c r="E65" s="345"/>
      <c r="F65" s="345"/>
      <c r="G65" s="345"/>
      <c r="H65" s="345"/>
      <c r="I65" s="345"/>
      <c r="J65" s="345"/>
      <c r="K65" s="345"/>
      <c r="L65" s="345"/>
      <c r="M65" s="345"/>
      <c r="N65" s="345"/>
      <c r="O65" s="345"/>
      <c r="P65" s="345"/>
      <c r="Q65" s="345"/>
      <c r="R65" s="345"/>
      <c r="S65" s="345"/>
      <c r="T65" s="345"/>
      <c r="U65" s="345"/>
      <c r="V65" s="345"/>
      <c r="W65" s="345"/>
      <c r="X65" s="345"/>
      <c r="Y65" s="345"/>
      <c r="Z65" s="345"/>
    </row>
    <row r="66" spans="1:26">
      <c r="A66" s="345"/>
      <c r="B66" s="345"/>
      <c r="C66" s="345"/>
      <c r="D66" s="345"/>
      <c r="E66" s="345"/>
      <c r="F66" s="345"/>
      <c r="G66" s="345"/>
      <c r="H66" s="345"/>
      <c r="I66" s="345"/>
      <c r="J66" s="345"/>
      <c r="K66" s="345"/>
      <c r="L66" s="345"/>
      <c r="M66" s="345"/>
      <c r="N66" s="345"/>
      <c r="O66" s="345"/>
      <c r="P66" s="345"/>
      <c r="Q66" s="345"/>
      <c r="R66" s="345"/>
      <c r="S66" s="345"/>
      <c r="T66" s="345"/>
      <c r="U66" s="345"/>
      <c r="V66" s="345"/>
      <c r="W66" s="345"/>
      <c r="X66" s="345"/>
      <c r="Y66" s="345"/>
      <c r="Z66" s="345"/>
    </row>
    <row r="67" spans="1:26">
      <c r="A67" s="345"/>
      <c r="B67" s="345"/>
      <c r="C67" s="345"/>
      <c r="D67" s="345"/>
      <c r="E67" s="345"/>
      <c r="F67" s="345"/>
      <c r="G67" s="345"/>
      <c r="H67" s="345"/>
      <c r="I67" s="345"/>
      <c r="J67" s="345"/>
      <c r="K67" s="345"/>
      <c r="L67" s="345"/>
      <c r="M67" s="345"/>
      <c r="N67" s="345"/>
      <c r="O67" s="345"/>
      <c r="P67" s="345"/>
      <c r="Q67" s="345"/>
      <c r="R67" s="345"/>
      <c r="S67" s="345"/>
      <c r="T67" s="345"/>
      <c r="U67" s="345"/>
      <c r="V67" s="345"/>
      <c r="W67" s="345"/>
      <c r="X67" s="345"/>
      <c r="Y67" s="345"/>
      <c r="Z67" s="345"/>
    </row>
    <row r="68" spans="1:26">
      <c r="A68" s="345"/>
      <c r="B68" s="345"/>
      <c r="C68" s="345"/>
      <c r="D68" s="345"/>
      <c r="E68" s="345"/>
      <c r="F68" s="345"/>
      <c r="G68" s="345"/>
      <c r="H68" s="345"/>
      <c r="I68" s="345"/>
      <c r="J68" s="345"/>
      <c r="K68" s="345"/>
      <c r="L68" s="345"/>
      <c r="M68" s="345"/>
      <c r="N68" s="345"/>
      <c r="O68" s="345"/>
      <c r="P68" s="345"/>
      <c r="Q68" s="345"/>
      <c r="R68" s="345"/>
      <c r="S68" s="345"/>
      <c r="T68" s="345"/>
      <c r="U68" s="345"/>
      <c r="V68" s="345"/>
      <c r="W68" s="345"/>
      <c r="X68" s="345"/>
      <c r="Y68" s="345"/>
      <c r="Z68" s="345"/>
    </row>
    <row r="69" spans="1:26">
      <c r="A69" s="345"/>
      <c r="B69" s="345"/>
      <c r="C69" s="345"/>
      <c r="D69" s="345"/>
      <c r="E69" s="345"/>
      <c r="F69" s="345"/>
      <c r="G69" s="345"/>
      <c r="H69" s="345"/>
      <c r="I69" s="345"/>
      <c r="J69" s="345"/>
      <c r="K69" s="345"/>
      <c r="L69" s="345"/>
      <c r="M69" s="345"/>
      <c r="N69" s="345"/>
      <c r="O69" s="345"/>
      <c r="P69" s="345"/>
      <c r="Q69" s="345"/>
      <c r="R69" s="345"/>
      <c r="S69" s="345"/>
      <c r="T69" s="345"/>
      <c r="U69" s="345"/>
      <c r="V69" s="345"/>
      <c r="W69" s="345"/>
      <c r="X69" s="345"/>
      <c r="Y69" s="345"/>
      <c r="Z69" s="345"/>
    </row>
    <row r="70" spans="1:26">
      <c r="A70" s="345"/>
      <c r="B70" s="345"/>
      <c r="C70" s="345"/>
      <c r="D70" s="345"/>
      <c r="E70" s="345"/>
      <c r="F70" s="345"/>
      <c r="G70" s="345"/>
      <c r="H70" s="345"/>
      <c r="I70" s="345"/>
      <c r="J70" s="345"/>
      <c r="K70" s="345"/>
      <c r="L70" s="345"/>
      <c r="M70" s="345"/>
      <c r="N70" s="345"/>
      <c r="O70" s="345"/>
      <c r="P70" s="345"/>
      <c r="Q70" s="345"/>
      <c r="R70" s="345"/>
      <c r="S70" s="345"/>
      <c r="T70" s="345"/>
      <c r="U70" s="345"/>
      <c r="V70" s="345"/>
      <c r="W70" s="345"/>
      <c r="X70" s="345"/>
      <c r="Y70" s="345"/>
      <c r="Z70" s="345"/>
    </row>
    <row r="71" spans="1:26">
      <c r="A71" s="345"/>
      <c r="B71" s="345"/>
      <c r="C71" s="345"/>
      <c r="D71" s="345"/>
      <c r="E71" s="345"/>
      <c r="F71" s="345"/>
      <c r="G71" s="345"/>
      <c r="H71" s="345"/>
      <c r="I71" s="345"/>
      <c r="J71" s="345"/>
      <c r="K71" s="345"/>
      <c r="L71" s="345"/>
      <c r="M71" s="345"/>
      <c r="N71" s="345"/>
      <c r="O71" s="345"/>
      <c r="P71" s="345"/>
      <c r="Q71" s="345"/>
      <c r="R71" s="345"/>
      <c r="S71" s="345"/>
      <c r="T71" s="345"/>
      <c r="U71" s="345"/>
      <c r="V71" s="345"/>
      <c r="W71" s="345"/>
      <c r="X71" s="345"/>
      <c r="Y71" s="345"/>
      <c r="Z71" s="345"/>
    </row>
    <row r="72" spans="1:26">
      <c r="A72" s="345"/>
      <c r="B72" s="345"/>
      <c r="C72" s="345"/>
      <c r="D72" s="345"/>
      <c r="E72" s="345"/>
      <c r="F72" s="345"/>
      <c r="G72" s="345"/>
      <c r="H72" s="345"/>
      <c r="I72" s="345"/>
      <c r="J72" s="345"/>
      <c r="K72" s="345"/>
      <c r="L72" s="345"/>
      <c r="M72" s="345"/>
      <c r="N72" s="345"/>
      <c r="O72" s="345"/>
      <c r="P72" s="345"/>
      <c r="Q72" s="345"/>
      <c r="R72" s="345"/>
      <c r="S72" s="345"/>
      <c r="T72" s="345"/>
      <c r="U72" s="345"/>
      <c r="V72" s="345"/>
      <c r="W72" s="345"/>
      <c r="X72" s="345"/>
      <c r="Y72" s="345"/>
      <c r="Z72" s="345"/>
    </row>
    <row r="73" spans="1:26">
      <c r="A73" s="345"/>
      <c r="B73" s="345"/>
      <c r="C73" s="345"/>
      <c r="D73" s="345"/>
      <c r="E73" s="345"/>
      <c r="F73" s="345"/>
      <c r="G73" s="345"/>
      <c r="H73" s="345"/>
      <c r="I73" s="345"/>
      <c r="J73" s="345"/>
      <c r="K73" s="345"/>
      <c r="L73" s="345"/>
      <c r="M73" s="345"/>
      <c r="N73" s="345"/>
      <c r="O73" s="345"/>
      <c r="P73" s="345"/>
      <c r="Q73" s="345"/>
      <c r="R73" s="345"/>
      <c r="S73" s="345"/>
      <c r="T73" s="345"/>
      <c r="U73" s="345"/>
      <c r="V73" s="345"/>
      <c r="W73" s="345"/>
      <c r="X73" s="345"/>
      <c r="Y73" s="345"/>
      <c r="Z73" s="345"/>
    </row>
    <row r="74" spans="1:26">
      <c r="A74" s="345"/>
      <c r="B74" s="345"/>
      <c r="C74" s="345"/>
      <c r="D74" s="345"/>
      <c r="E74" s="345"/>
      <c r="F74" s="345"/>
      <c r="G74" s="345"/>
      <c r="H74" s="345"/>
      <c r="I74" s="345"/>
      <c r="J74" s="345"/>
      <c r="K74" s="345"/>
      <c r="L74" s="345"/>
      <c r="M74" s="345"/>
      <c r="N74" s="345"/>
      <c r="O74" s="345"/>
      <c r="P74" s="345"/>
      <c r="Q74" s="345"/>
      <c r="R74" s="345"/>
      <c r="S74" s="345"/>
      <c r="T74" s="345"/>
      <c r="U74" s="345"/>
      <c r="V74" s="345"/>
      <c r="W74" s="345"/>
      <c r="X74" s="345"/>
      <c r="Y74" s="345"/>
      <c r="Z74" s="345"/>
    </row>
    <row r="75" spans="1:26">
      <c r="A75" s="345"/>
      <c r="B75" s="345"/>
      <c r="C75" s="345"/>
      <c r="D75" s="345"/>
      <c r="E75" s="345"/>
      <c r="F75" s="345"/>
      <c r="G75" s="345"/>
      <c r="H75" s="345"/>
      <c r="I75" s="345"/>
      <c r="J75" s="345"/>
      <c r="K75" s="345"/>
      <c r="L75" s="345"/>
      <c r="M75" s="345"/>
      <c r="N75" s="345"/>
      <c r="O75" s="345"/>
      <c r="P75" s="345"/>
      <c r="Q75" s="345"/>
      <c r="R75" s="345"/>
      <c r="S75" s="345"/>
      <c r="T75" s="345"/>
      <c r="U75" s="345"/>
      <c r="V75" s="345"/>
      <c r="W75" s="345"/>
      <c r="X75" s="345"/>
      <c r="Y75" s="345"/>
      <c r="Z75" s="345"/>
    </row>
    <row r="76" spans="1:26">
      <c r="A76" s="345"/>
      <c r="B76" s="345"/>
      <c r="C76" s="345"/>
      <c r="D76" s="345"/>
      <c r="E76" s="345"/>
      <c r="F76" s="345"/>
      <c r="G76" s="345"/>
      <c r="H76" s="345"/>
      <c r="I76" s="345"/>
      <c r="J76" s="345"/>
      <c r="K76" s="345"/>
      <c r="L76" s="345"/>
      <c r="M76" s="345"/>
      <c r="N76" s="345"/>
      <c r="O76" s="345"/>
      <c r="P76" s="345"/>
      <c r="Q76" s="345"/>
      <c r="R76" s="345"/>
      <c r="S76" s="345"/>
      <c r="T76" s="345"/>
      <c r="U76" s="345"/>
      <c r="V76" s="345"/>
      <c r="W76" s="345"/>
      <c r="X76" s="345"/>
      <c r="Y76" s="345"/>
      <c r="Z76" s="345"/>
    </row>
    <row r="77" spans="1:26">
      <c r="A77" s="345"/>
      <c r="B77" s="345"/>
      <c r="C77" s="345"/>
      <c r="D77" s="345"/>
      <c r="E77" s="345"/>
      <c r="F77" s="345"/>
      <c r="G77" s="345"/>
      <c r="H77" s="345"/>
      <c r="I77" s="345"/>
      <c r="J77" s="345"/>
      <c r="K77" s="345"/>
      <c r="L77" s="345"/>
      <c r="M77" s="345"/>
      <c r="N77" s="345"/>
      <c r="O77" s="345"/>
      <c r="P77" s="345"/>
      <c r="Q77" s="345"/>
      <c r="R77" s="345"/>
      <c r="S77" s="345"/>
      <c r="T77" s="345"/>
      <c r="U77" s="345"/>
      <c r="V77" s="345"/>
      <c r="W77" s="345"/>
      <c r="X77" s="345"/>
      <c r="Y77" s="345"/>
      <c r="Z77" s="345"/>
    </row>
    <row r="78" spans="1:26">
      <c r="A78" s="345"/>
      <c r="B78" s="345"/>
      <c r="C78" s="345"/>
      <c r="D78" s="345"/>
      <c r="E78" s="345"/>
      <c r="F78" s="345"/>
      <c r="G78" s="345"/>
      <c r="H78" s="345"/>
      <c r="I78" s="345"/>
      <c r="J78" s="345"/>
      <c r="K78" s="345"/>
      <c r="L78" s="345"/>
      <c r="M78" s="345"/>
      <c r="N78" s="345"/>
      <c r="O78" s="345"/>
      <c r="P78" s="345"/>
      <c r="Q78" s="345"/>
      <c r="R78" s="345"/>
      <c r="S78" s="345"/>
      <c r="T78" s="345"/>
      <c r="U78" s="345"/>
      <c r="V78" s="345"/>
      <c r="W78" s="345"/>
      <c r="X78" s="345"/>
      <c r="Y78" s="345"/>
      <c r="Z78" s="345"/>
    </row>
    <row r="79" spans="1:26">
      <c r="A79" s="345"/>
      <c r="B79" s="345"/>
      <c r="C79" s="345"/>
      <c r="D79" s="345"/>
      <c r="E79" s="345"/>
      <c r="F79" s="345"/>
      <c r="G79" s="345"/>
      <c r="H79" s="345"/>
      <c r="I79" s="345"/>
      <c r="J79" s="345"/>
      <c r="K79" s="345"/>
      <c r="L79" s="345"/>
      <c r="M79" s="345"/>
      <c r="N79" s="345"/>
      <c r="O79" s="345"/>
      <c r="P79" s="345"/>
      <c r="Q79" s="345"/>
      <c r="R79" s="345"/>
      <c r="S79" s="345"/>
      <c r="T79" s="345"/>
      <c r="U79" s="345"/>
      <c r="V79" s="345"/>
      <c r="W79" s="345"/>
      <c r="X79" s="345"/>
      <c r="Y79" s="345"/>
      <c r="Z79" s="345"/>
    </row>
    <row r="80" spans="1:26">
      <c r="A80" s="345"/>
      <c r="B80" s="345"/>
      <c r="C80" s="345"/>
      <c r="D80" s="345"/>
      <c r="E80" s="345"/>
      <c r="F80" s="345"/>
      <c r="G80" s="345"/>
      <c r="H80" s="345"/>
      <c r="I80" s="345"/>
      <c r="J80" s="345"/>
      <c r="K80" s="345"/>
      <c r="L80" s="345"/>
      <c r="M80" s="345"/>
      <c r="N80" s="345"/>
      <c r="O80" s="345"/>
      <c r="P80" s="345"/>
      <c r="Q80" s="345"/>
      <c r="R80" s="345"/>
      <c r="S80" s="345"/>
      <c r="T80" s="345"/>
      <c r="U80" s="345"/>
      <c r="V80" s="345"/>
      <c r="W80" s="345"/>
      <c r="X80" s="345"/>
      <c r="Y80" s="345"/>
      <c r="Z80" s="345"/>
    </row>
    <row r="81" spans="1:26">
      <c r="A81" s="345"/>
      <c r="B81" s="345"/>
      <c r="C81" s="345"/>
      <c r="D81" s="345"/>
      <c r="E81" s="345"/>
      <c r="F81" s="345"/>
      <c r="G81" s="345"/>
      <c r="H81" s="345"/>
      <c r="I81" s="345"/>
      <c r="J81" s="345"/>
      <c r="K81" s="345"/>
      <c r="L81" s="345"/>
      <c r="M81" s="345"/>
      <c r="N81" s="345"/>
      <c r="O81" s="345"/>
      <c r="P81" s="345"/>
      <c r="Q81" s="345"/>
      <c r="R81" s="345"/>
      <c r="S81" s="345"/>
      <c r="T81" s="345"/>
      <c r="U81" s="345"/>
      <c r="V81" s="345"/>
      <c r="W81" s="345"/>
      <c r="X81" s="345"/>
      <c r="Y81" s="345"/>
      <c r="Z81" s="345"/>
    </row>
    <row r="82" spans="1:26">
      <c r="A82" s="345"/>
      <c r="B82" s="345"/>
      <c r="C82" s="345"/>
      <c r="D82" s="345"/>
      <c r="E82" s="345"/>
      <c r="F82" s="345"/>
      <c r="G82" s="345"/>
      <c r="H82" s="345"/>
      <c r="I82" s="345"/>
      <c r="J82" s="345"/>
      <c r="K82" s="345"/>
      <c r="L82" s="345"/>
      <c r="M82" s="345"/>
      <c r="N82" s="345"/>
      <c r="O82" s="345"/>
      <c r="P82" s="345"/>
      <c r="Q82" s="345"/>
      <c r="R82" s="345"/>
      <c r="S82" s="345"/>
      <c r="T82" s="345"/>
      <c r="U82" s="345"/>
      <c r="V82" s="345"/>
      <c r="W82" s="345"/>
      <c r="X82" s="345"/>
      <c r="Y82" s="345"/>
      <c r="Z82" s="345"/>
    </row>
    <row r="83" spans="1:26">
      <c r="A83" s="345"/>
      <c r="B83" s="345"/>
      <c r="C83" s="345"/>
      <c r="D83" s="345"/>
      <c r="E83" s="345"/>
      <c r="F83" s="345"/>
      <c r="G83" s="345"/>
      <c r="H83" s="345"/>
      <c r="I83" s="345"/>
      <c r="J83" s="345"/>
      <c r="K83" s="345"/>
      <c r="L83" s="345"/>
      <c r="M83" s="345"/>
      <c r="N83" s="345"/>
      <c r="O83" s="345"/>
      <c r="P83" s="345"/>
      <c r="Q83" s="345"/>
      <c r="R83" s="345"/>
      <c r="S83" s="345"/>
      <c r="T83" s="345"/>
      <c r="U83" s="345"/>
      <c r="V83" s="345"/>
      <c r="W83" s="345"/>
      <c r="X83" s="345"/>
      <c r="Y83" s="345"/>
      <c r="Z83" s="345"/>
    </row>
    <row r="84" spans="1:26">
      <c r="A84" s="345"/>
      <c r="B84" s="345"/>
      <c r="C84" s="345"/>
      <c r="D84" s="345"/>
      <c r="E84" s="345"/>
      <c r="F84" s="345"/>
      <c r="G84" s="345"/>
      <c r="H84" s="345"/>
      <c r="I84" s="345"/>
      <c r="J84" s="345"/>
      <c r="K84" s="345"/>
      <c r="L84" s="345"/>
      <c r="M84" s="345"/>
      <c r="N84" s="345"/>
      <c r="O84" s="345"/>
      <c r="P84" s="345"/>
      <c r="Q84" s="345"/>
      <c r="R84" s="345"/>
      <c r="S84" s="345"/>
      <c r="T84" s="345"/>
      <c r="U84" s="345"/>
      <c r="V84" s="345"/>
      <c r="W84" s="345"/>
      <c r="X84" s="345"/>
      <c r="Y84" s="345"/>
      <c r="Z84" s="345"/>
    </row>
    <row r="85" spans="1:26">
      <c r="A85" s="345"/>
      <c r="B85" s="345"/>
      <c r="C85" s="345"/>
      <c r="D85" s="345"/>
      <c r="E85" s="345"/>
      <c r="F85" s="345"/>
      <c r="G85" s="345"/>
      <c r="H85" s="345"/>
      <c r="I85" s="345"/>
      <c r="J85" s="345"/>
      <c r="K85" s="345"/>
      <c r="L85" s="345"/>
      <c r="M85" s="345"/>
      <c r="N85" s="345"/>
      <c r="O85" s="345"/>
      <c r="P85" s="345"/>
      <c r="Q85" s="345"/>
      <c r="R85" s="345"/>
      <c r="S85" s="345"/>
      <c r="T85" s="345"/>
      <c r="U85" s="345"/>
      <c r="V85" s="345"/>
      <c r="W85" s="345"/>
      <c r="X85" s="345"/>
      <c r="Y85" s="345"/>
      <c r="Z85" s="345"/>
    </row>
    <row r="86" spans="1:26">
      <c r="A86" s="345"/>
      <c r="B86" s="345"/>
      <c r="C86" s="345"/>
      <c r="D86" s="345"/>
      <c r="E86" s="345"/>
      <c r="F86" s="345"/>
      <c r="G86" s="345"/>
      <c r="H86" s="345"/>
      <c r="I86" s="345"/>
      <c r="J86" s="345"/>
      <c r="K86" s="345"/>
      <c r="L86" s="345"/>
      <c r="M86" s="345"/>
      <c r="N86" s="345"/>
      <c r="O86" s="345"/>
      <c r="P86" s="345"/>
      <c r="Q86" s="345"/>
      <c r="R86" s="345"/>
      <c r="S86" s="345"/>
      <c r="T86" s="345"/>
      <c r="U86" s="345"/>
      <c r="V86" s="345"/>
      <c r="W86" s="345"/>
      <c r="X86" s="345"/>
      <c r="Y86" s="345"/>
      <c r="Z86" s="345"/>
    </row>
    <row r="87" spans="1:26">
      <c r="A87" s="345"/>
      <c r="B87" s="345"/>
      <c r="C87" s="345"/>
      <c r="D87" s="345"/>
      <c r="E87" s="345"/>
      <c r="F87" s="345"/>
      <c r="G87" s="345"/>
      <c r="H87" s="345"/>
      <c r="I87" s="345"/>
      <c r="J87" s="345"/>
      <c r="K87" s="345"/>
      <c r="L87" s="345"/>
      <c r="M87" s="345"/>
      <c r="N87" s="345"/>
      <c r="O87" s="345"/>
      <c r="P87" s="345"/>
      <c r="Q87" s="345"/>
      <c r="R87" s="345"/>
      <c r="S87" s="345"/>
      <c r="T87" s="345"/>
      <c r="U87" s="345"/>
      <c r="V87" s="345"/>
      <c r="W87" s="345"/>
      <c r="X87" s="345"/>
      <c r="Y87" s="345"/>
      <c r="Z87" s="345"/>
    </row>
    <row r="88" spans="1:26">
      <c r="A88" s="345"/>
      <c r="B88" s="345"/>
      <c r="C88" s="345"/>
      <c r="D88" s="345"/>
      <c r="E88" s="345"/>
      <c r="F88" s="345"/>
      <c r="G88" s="345"/>
      <c r="H88" s="345"/>
      <c r="I88" s="345"/>
      <c r="J88" s="345"/>
      <c r="K88" s="345"/>
      <c r="L88" s="345"/>
      <c r="M88" s="345"/>
      <c r="N88" s="345"/>
      <c r="O88" s="345"/>
      <c r="P88" s="345"/>
      <c r="Q88" s="345"/>
      <c r="R88" s="345"/>
      <c r="S88" s="345"/>
      <c r="T88" s="345"/>
      <c r="U88" s="345"/>
      <c r="V88" s="345"/>
      <c r="W88" s="345"/>
      <c r="X88" s="345"/>
      <c r="Y88" s="345"/>
      <c r="Z88" s="345"/>
    </row>
    <row r="89" spans="1:26">
      <c r="A89" s="345"/>
      <c r="B89" s="345"/>
      <c r="C89" s="345"/>
      <c r="D89" s="345"/>
      <c r="E89" s="345"/>
      <c r="F89" s="345"/>
      <c r="G89" s="345"/>
      <c r="H89" s="345"/>
      <c r="I89" s="345"/>
      <c r="J89" s="345"/>
      <c r="K89" s="345"/>
      <c r="L89" s="345"/>
      <c r="M89" s="345"/>
      <c r="N89" s="345"/>
      <c r="O89" s="345"/>
      <c r="P89" s="345"/>
      <c r="Q89" s="345"/>
      <c r="R89" s="345"/>
      <c r="S89" s="345"/>
      <c r="T89" s="345"/>
      <c r="U89" s="345"/>
      <c r="V89" s="345"/>
      <c r="W89" s="345"/>
      <c r="X89" s="345"/>
      <c r="Y89" s="345"/>
      <c r="Z89" s="345"/>
    </row>
    <row r="90" spans="1:26">
      <c r="A90" s="345"/>
      <c r="B90" s="345"/>
      <c r="C90" s="345"/>
      <c r="D90" s="345"/>
      <c r="E90" s="345"/>
      <c r="F90" s="345"/>
      <c r="G90" s="345"/>
      <c r="H90" s="345"/>
      <c r="I90" s="345"/>
      <c r="J90" s="345"/>
      <c r="K90" s="345"/>
      <c r="L90" s="345"/>
      <c r="M90" s="345"/>
      <c r="N90" s="345"/>
      <c r="O90" s="345"/>
      <c r="P90" s="345"/>
      <c r="Q90" s="345"/>
      <c r="R90" s="345"/>
      <c r="S90" s="345"/>
      <c r="T90" s="345"/>
      <c r="U90" s="345"/>
      <c r="V90" s="345"/>
      <c r="W90" s="345"/>
      <c r="X90" s="345"/>
      <c r="Y90" s="345"/>
      <c r="Z90" s="345"/>
    </row>
    <row r="91" spans="1:26">
      <c r="A91" s="345"/>
      <c r="B91" s="345"/>
      <c r="C91" s="345"/>
      <c r="D91" s="345"/>
      <c r="E91" s="345"/>
      <c r="F91" s="345"/>
      <c r="G91" s="345"/>
      <c r="H91" s="345"/>
      <c r="I91" s="345"/>
      <c r="J91" s="345"/>
      <c r="K91" s="345"/>
      <c r="L91" s="345"/>
      <c r="M91" s="345"/>
      <c r="N91" s="345"/>
      <c r="O91" s="345"/>
      <c r="P91" s="345"/>
      <c r="Q91" s="345"/>
      <c r="R91" s="345"/>
      <c r="S91" s="345"/>
      <c r="T91" s="345"/>
      <c r="U91" s="345"/>
      <c r="V91" s="345"/>
      <c r="W91" s="345"/>
      <c r="X91" s="345"/>
      <c r="Y91" s="345"/>
      <c r="Z91" s="345"/>
    </row>
    <row r="92" spans="1:26">
      <c r="A92" s="345"/>
      <c r="B92" s="345"/>
      <c r="C92" s="345"/>
      <c r="D92" s="345"/>
      <c r="E92" s="345"/>
      <c r="F92" s="345"/>
      <c r="G92" s="345"/>
      <c r="H92" s="345"/>
      <c r="I92" s="345"/>
      <c r="J92" s="345"/>
      <c r="K92" s="345"/>
      <c r="L92" s="345"/>
      <c r="M92" s="345"/>
      <c r="N92" s="345"/>
      <c r="O92" s="345"/>
      <c r="P92" s="345"/>
      <c r="Q92" s="345"/>
      <c r="R92" s="345"/>
      <c r="S92" s="345"/>
      <c r="T92" s="345"/>
      <c r="U92" s="345"/>
      <c r="V92" s="345"/>
      <c r="W92" s="345"/>
      <c r="X92" s="345"/>
      <c r="Y92" s="345"/>
      <c r="Z92" s="345"/>
    </row>
    <row r="93" spans="1:26">
      <c r="A93" s="345"/>
      <c r="B93" s="345"/>
      <c r="C93" s="345"/>
      <c r="D93" s="345"/>
      <c r="E93" s="345"/>
      <c r="F93" s="345"/>
      <c r="G93" s="345"/>
      <c r="H93" s="345"/>
      <c r="I93" s="345"/>
      <c r="J93" s="345"/>
      <c r="K93" s="345"/>
      <c r="L93" s="345"/>
      <c r="M93" s="345"/>
      <c r="N93" s="345"/>
      <c r="O93" s="345"/>
      <c r="P93" s="345"/>
      <c r="Q93" s="345"/>
      <c r="R93" s="345"/>
      <c r="S93" s="345"/>
      <c r="T93" s="345"/>
      <c r="U93" s="345"/>
      <c r="V93" s="345"/>
      <c r="W93" s="345"/>
      <c r="X93" s="345"/>
      <c r="Y93" s="345"/>
      <c r="Z93" s="345"/>
    </row>
    <row r="94" spans="1:26">
      <c r="A94" s="345"/>
      <c r="B94" s="345"/>
      <c r="C94" s="345"/>
      <c r="D94" s="345"/>
      <c r="E94" s="345"/>
      <c r="F94" s="345"/>
      <c r="G94" s="345"/>
      <c r="H94" s="345"/>
      <c r="I94" s="345"/>
      <c r="J94" s="345"/>
      <c r="K94" s="345"/>
      <c r="L94" s="345"/>
      <c r="M94" s="345"/>
      <c r="N94" s="345"/>
      <c r="O94" s="345"/>
      <c r="P94" s="345"/>
      <c r="Q94" s="345"/>
      <c r="R94" s="345"/>
      <c r="S94" s="345"/>
      <c r="T94" s="345"/>
      <c r="U94" s="345"/>
      <c r="V94" s="345"/>
      <c r="W94" s="345"/>
      <c r="X94" s="345"/>
      <c r="Y94" s="345"/>
      <c r="Z94" s="345"/>
    </row>
    <row r="95" spans="1:26">
      <c r="A95" s="345"/>
      <c r="B95" s="345"/>
      <c r="C95" s="345"/>
      <c r="D95" s="345"/>
      <c r="E95" s="345"/>
      <c r="F95" s="345"/>
      <c r="G95" s="345"/>
      <c r="H95" s="345"/>
      <c r="I95" s="345"/>
      <c r="J95" s="345"/>
      <c r="K95" s="345"/>
      <c r="L95" s="345"/>
      <c r="M95" s="345"/>
      <c r="N95" s="345"/>
      <c r="O95" s="345"/>
      <c r="P95" s="345"/>
      <c r="Q95" s="345"/>
      <c r="R95" s="345"/>
      <c r="S95" s="345"/>
      <c r="T95" s="345"/>
      <c r="U95" s="345"/>
      <c r="V95" s="345"/>
      <c r="W95" s="345"/>
      <c r="X95" s="345"/>
      <c r="Y95" s="345"/>
      <c r="Z95" s="345"/>
    </row>
    <row r="96" spans="1:26">
      <c r="A96" s="345"/>
      <c r="B96" s="345"/>
      <c r="C96" s="345"/>
      <c r="D96" s="345"/>
      <c r="E96" s="345"/>
      <c r="F96" s="345"/>
      <c r="G96" s="345"/>
      <c r="H96" s="345"/>
      <c r="I96" s="345"/>
      <c r="J96" s="345"/>
      <c r="K96" s="345"/>
      <c r="L96" s="345"/>
      <c r="M96" s="345"/>
      <c r="N96" s="345"/>
      <c r="O96" s="345"/>
      <c r="P96" s="345"/>
      <c r="Q96" s="345"/>
      <c r="R96" s="345"/>
      <c r="S96" s="345"/>
      <c r="T96" s="345"/>
      <c r="U96" s="345"/>
      <c r="V96" s="345"/>
      <c r="W96" s="345"/>
      <c r="X96" s="345"/>
      <c r="Y96" s="345"/>
      <c r="Z96" s="345"/>
    </row>
    <row r="97" spans="1:26">
      <c r="A97" s="345"/>
      <c r="B97" s="345"/>
      <c r="C97" s="345"/>
      <c r="D97" s="345"/>
      <c r="E97" s="345"/>
      <c r="F97" s="345"/>
      <c r="G97" s="345"/>
      <c r="H97" s="345"/>
      <c r="I97" s="345"/>
      <c r="J97" s="345"/>
      <c r="K97" s="345"/>
      <c r="L97" s="345"/>
      <c r="M97" s="345"/>
      <c r="N97" s="345"/>
      <c r="O97" s="345"/>
      <c r="P97" s="345"/>
      <c r="Q97" s="345"/>
      <c r="R97" s="345"/>
      <c r="S97" s="345"/>
      <c r="T97" s="345"/>
      <c r="U97" s="345"/>
      <c r="V97" s="345"/>
      <c r="W97" s="345"/>
      <c r="X97" s="345"/>
      <c r="Y97" s="345"/>
      <c r="Z97" s="345"/>
    </row>
    <row r="98" spans="1:26">
      <c r="A98" s="345"/>
      <c r="B98" s="345"/>
      <c r="C98" s="345"/>
      <c r="D98" s="345"/>
      <c r="E98" s="345"/>
      <c r="F98" s="345"/>
      <c r="G98" s="345"/>
      <c r="H98" s="345"/>
      <c r="I98" s="345"/>
      <c r="J98" s="345"/>
      <c r="K98" s="345"/>
      <c r="L98" s="345"/>
      <c r="M98" s="345"/>
      <c r="N98" s="345"/>
      <c r="O98" s="345"/>
      <c r="P98" s="345"/>
      <c r="Q98" s="345"/>
      <c r="R98" s="345"/>
      <c r="S98" s="345"/>
      <c r="T98" s="345"/>
      <c r="U98" s="345"/>
      <c r="V98" s="345"/>
      <c r="W98" s="345"/>
      <c r="X98" s="345"/>
      <c r="Y98" s="345"/>
      <c r="Z98" s="345"/>
    </row>
    <row r="99" spans="1:26">
      <c r="A99" s="345"/>
      <c r="B99" s="345"/>
      <c r="C99" s="345"/>
      <c r="D99" s="345"/>
      <c r="E99" s="345"/>
      <c r="F99" s="345"/>
      <c r="G99" s="345"/>
      <c r="H99" s="345"/>
      <c r="I99" s="345"/>
      <c r="J99" s="345"/>
      <c r="K99" s="345"/>
      <c r="L99" s="345"/>
      <c r="M99" s="345"/>
      <c r="N99" s="345"/>
      <c r="O99" s="345"/>
      <c r="P99" s="345"/>
      <c r="Q99" s="345"/>
      <c r="R99" s="345"/>
      <c r="S99" s="345"/>
      <c r="T99" s="345"/>
      <c r="U99" s="345"/>
      <c r="V99" s="345"/>
      <c r="W99" s="345"/>
      <c r="X99" s="345"/>
      <c r="Y99" s="345"/>
      <c r="Z99" s="345"/>
    </row>
    <row r="100" spans="1:26">
      <c r="A100" s="345"/>
      <c r="B100" s="345"/>
      <c r="C100" s="345"/>
      <c r="D100" s="345"/>
      <c r="E100" s="345"/>
      <c r="F100" s="345"/>
      <c r="G100" s="345"/>
      <c r="H100" s="345"/>
      <c r="I100" s="345"/>
      <c r="J100" s="345"/>
      <c r="K100" s="345"/>
      <c r="L100" s="345"/>
      <c r="M100" s="345"/>
      <c r="N100" s="345"/>
      <c r="O100" s="345"/>
      <c r="P100" s="345"/>
      <c r="Q100" s="345"/>
      <c r="R100" s="345"/>
      <c r="S100" s="345"/>
      <c r="T100" s="345"/>
      <c r="U100" s="345"/>
      <c r="V100" s="345"/>
      <c r="W100" s="345"/>
      <c r="X100" s="345"/>
      <c r="Y100" s="345"/>
      <c r="Z100" s="345"/>
    </row>
    <row r="101" spans="1:26">
      <c r="A101" s="345"/>
      <c r="B101" s="345"/>
      <c r="C101" s="345"/>
      <c r="D101" s="345"/>
      <c r="E101" s="345"/>
      <c r="F101" s="345"/>
      <c r="G101" s="345"/>
      <c r="H101" s="345"/>
      <c r="I101" s="345"/>
      <c r="J101" s="345"/>
      <c r="K101" s="345"/>
      <c r="L101" s="345"/>
      <c r="M101" s="345"/>
      <c r="N101" s="345"/>
      <c r="O101" s="345"/>
      <c r="P101" s="345"/>
      <c r="Q101" s="345"/>
      <c r="R101" s="345"/>
      <c r="S101" s="345"/>
      <c r="T101" s="345"/>
      <c r="U101" s="345"/>
      <c r="V101" s="345"/>
      <c r="W101" s="345"/>
      <c r="X101" s="345"/>
      <c r="Y101" s="345"/>
      <c r="Z101" s="345"/>
    </row>
    <row r="102" spans="1:26">
      <c r="A102" s="345"/>
      <c r="B102" s="345"/>
      <c r="C102" s="345"/>
      <c r="D102" s="345"/>
      <c r="E102" s="345"/>
      <c r="F102" s="345"/>
      <c r="G102" s="345"/>
      <c r="H102" s="345"/>
      <c r="I102" s="345"/>
      <c r="J102" s="345"/>
      <c r="K102" s="345"/>
      <c r="L102" s="345"/>
      <c r="M102" s="345"/>
      <c r="N102" s="345"/>
      <c r="O102" s="345"/>
      <c r="P102" s="345"/>
      <c r="Q102" s="345"/>
      <c r="R102" s="345"/>
      <c r="S102" s="345"/>
      <c r="T102" s="345"/>
      <c r="U102" s="345"/>
      <c r="V102" s="345"/>
      <c r="W102" s="345"/>
      <c r="X102" s="345"/>
      <c r="Y102" s="345"/>
      <c r="Z102" s="345"/>
    </row>
    <row r="103" spans="1:26">
      <c r="A103" s="345"/>
      <c r="B103" s="345"/>
      <c r="C103" s="345"/>
      <c r="D103" s="345"/>
      <c r="E103" s="345"/>
      <c r="F103" s="345"/>
      <c r="G103" s="345"/>
      <c r="H103" s="345"/>
      <c r="I103" s="345"/>
      <c r="J103" s="345"/>
      <c r="K103" s="345"/>
      <c r="L103" s="345"/>
      <c r="M103" s="345"/>
      <c r="N103" s="345"/>
      <c r="O103" s="345"/>
      <c r="P103" s="345"/>
      <c r="Q103" s="345"/>
      <c r="R103" s="345"/>
      <c r="S103" s="345"/>
      <c r="T103" s="345"/>
      <c r="U103" s="345"/>
      <c r="V103" s="345"/>
      <c r="W103" s="345"/>
      <c r="X103" s="345"/>
      <c r="Y103" s="345"/>
      <c r="Z103" s="345"/>
    </row>
    <row r="104" spans="1:26">
      <c r="A104" s="345"/>
      <c r="B104" s="345"/>
      <c r="C104" s="345"/>
      <c r="D104" s="345"/>
      <c r="E104" s="345"/>
      <c r="F104" s="345"/>
      <c r="G104" s="345"/>
      <c r="H104" s="345"/>
      <c r="I104" s="345"/>
      <c r="J104" s="345"/>
      <c r="K104" s="345"/>
      <c r="L104" s="345"/>
      <c r="M104" s="345"/>
      <c r="N104" s="345"/>
      <c r="O104" s="345"/>
      <c r="P104" s="345"/>
      <c r="Q104" s="345"/>
      <c r="R104" s="345"/>
      <c r="S104" s="345"/>
      <c r="T104" s="345"/>
      <c r="U104" s="345"/>
      <c r="V104" s="345"/>
      <c r="W104" s="345"/>
      <c r="X104" s="345"/>
      <c r="Y104" s="345"/>
      <c r="Z104" s="345"/>
    </row>
    <row r="105" spans="1:26">
      <c r="A105" s="345"/>
      <c r="B105" s="345"/>
      <c r="C105" s="345"/>
      <c r="D105" s="345"/>
      <c r="E105" s="345"/>
      <c r="F105" s="345"/>
      <c r="G105" s="345"/>
      <c r="H105" s="345"/>
      <c r="I105" s="345"/>
      <c r="J105" s="345"/>
      <c r="K105" s="345"/>
      <c r="L105" s="345"/>
      <c r="M105" s="345"/>
      <c r="N105" s="345"/>
      <c r="O105" s="345"/>
      <c r="P105" s="345"/>
      <c r="Q105" s="345"/>
      <c r="R105" s="345"/>
      <c r="S105" s="345"/>
      <c r="T105" s="345"/>
      <c r="U105" s="345"/>
      <c r="V105" s="345"/>
      <c r="W105" s="345"/>
      <c r="X105" s="345"/>
      <c r="Y105" s="345"/>
      <c r="Z105" s="345"/>
    </row>
    <row r="106" spans="1:26">
      <c r="A106" s="345"/>
      <c r="B106" s="345"/>
      <c r="C106" s="345"/>
      <c r="D106" s="345"/>
      <c r="E106" s="345"/>
      <c r="F106" s="345"/>
      <c r="G106" s="345"/>
      <c r="H106" s="345"/>
      <c r="I106" s="345"/>
      <c r="J106" s="345"/>
      <c r="K106" s="345"/>
      <c r="L106" s="345"/>
      <c r="M106" s="345"/>
      <c r="N106" s="345"/>
      <c r="O106" s="345"/>
      <c r="P106" s="345"/>
      <c r="Q106" s="345"/>
      <c r="R106" s="345"/>
      <c r="S106" s="345"/>
      <c r="T106" s="345"/>
      <c r="U106" s="345"/>
      <c r="V106" s="345"/>
      <c r="W106" s="345"/>
      <c r="X106" s="345"/>
      <c r="Y106" s="345"/>
      <c r="Z106" s="345"/>
    </row>
    <row r="107" spans="1:26">
      <c r="A107" s="345"/>
      <c r="B107" s="345"/>
      <c r="C107" s="345"/>
      <c r="D107" s="345"/>
      <c r="E107" s="345"/>
      <c r="F107" s="345"/>
      <c r="G107" s="345"/>
      <c r="H107" s="345"/>
      <c r="I107" s="345"/>
      <c r="J107" s="345"/>
      <c r="K107" s="345"/>
      <c r="L107" s="345"/>
      <c r="M107" s="345"/>
      <c r="N107" s="345"/>
      <c r="O107" s="345"/>
      <c r="P107" s="345"/>
      <c r="Q107" s="345"/>
      <c r="R107" s="345"/>
      <c r="S107" s="345"/>
      <c r="T107" s="345"/>
      <c r="U107" s="345"/>
      <c r="V107" s="345"/>
      <c r="W107" s="345"/>
      <c r="X107" s="345"/>
      <c r="Y107" s="345"/>
      <c r="Z107" s="345"/>
    </row>
    <row r="108" spans="1:26">
      <c r="A108" s="345"/>
      <c r="B108" s="345"/>
      <c r="C108" s="345"/>
      <c r="D108" s="345"/>
      <c r="E108" s="345"/>
      <c r="F108" s="345"/>
      <c r="G108" s="345"/>
      <c r="H108" s="345"/>
      <c r="I108" s="345"/>
      <c r="J108" s="345"/>
      <c r="K108" s="345"/>
      <c r="L108" s="345"/>
      <c r="M108" s="345"/>
      <c r="N108" s="345"/>
      <c r="O108" s="345"/>
      <c r="P108" s="345"/>
      <c r="Q108" s="345"/>
      <c r="R108" s="345"/>
      <c r="S108" s="345"/>
      <c r="T108" s="345"/>
      <c r="U108" s="345"/>
      <c r="V108" s="345"/>
      <c r="W108" s="345"/>
      <c r="X108" s="345"/>
      <c r="Y108" s="345"/>
      <c r="Z108" s="345"/>
    </row>
    <row r="109" spans="1:26">
      <c r="A109" s="345"/>
      <c r="B109" s="345"/>
      <c r="C109" s="345"/>
      <c r="D109" s="345"/>
      <c r="E109" s="345"/>
      <c r="F109" s="345"/>
      <c r="G109" s="345"/>
      <c r="H109" s="345"/>
      <c r="I109" s="345"/>
      <c r="J109" s="345"/>
      <c r="K109" s="345"/>
      <c r="L109" s="345"/>
      <c r="M109" s="345"/>
      <c r="N109" s="345"/>
      <c r="O109" s="345"/>
      <c r="P109" s="345"/>
      <c r="Q109" s="345"/>
      <c r="R109" s="345"/>
      <c r="S109" s="345"/>
      <c r="T109" s="345"/>
      <c r="U109" s="345"/>
      <c r="V109" s="345"/>
      <c r="W109" s="345"/>
      <c r="X109" s="345"/>
      <c r="Y109" s="345"/>
      <c r="Z109" s="345"/>
    </row>
    <row r="110" spans="1:26">
      <c r="A110" s="345"/>
      <c r="B110" s="345"/>
      <c r="C110" s="345"/>
      <c r="D110" s="345"/>
      <c r="E110" s="345"/>
      <c r="F110" s="345"/>
      <c r="G110" s="345"/>
      <c r="H110" s="345"/>
      <c r="I110" s="345"/>
      <c r="J110" s="345"/>
      <c r="K110" s="345"/>
      <c r="L110" s="345"/>
      <c r="M110" s="345"/>
      <c r="N110" s="345"/>
      <c r="O110" s="345"/>
      <c r="P110" s="345"/>
      <c r="Q110" s="345"/>
      <c r="R110" s="345"/>
      <c r="S110" s="345"/>
      <c r="T110" s="345"/>
      <c r="U110" s="345"/>
      <c r="V110" s="345"/>
      <c r="W110" s="345"/>
      <c r="X110" s="345"/>
      <c r="Y110" s="345"/>
      <c r="Z110" s="345"/>
    </row>
    <row r="111" spans="1:26">
      <c r="A111" s="345"/>
      <c r="B111" s="345"/>
      <c r="C111" s="345"/>
      <c r="D111" s="345"/>
      <c r="E111" s="345"/>
      <c r="F111" s="345"/>
      <c r="G111" s="345"/>
      <c r="H111" s="345"/>
      <c r="I111" s="345"/>
      <c r="J111" s="345"/>
      <c r="K111" s="345"/>
      <c r="L111" s="345"/>
      <c r="M111" s="345"/>
      <c r="N111" s="345"/>
      <c r="O111" s="345"/>
      <c r="P111" s="345"/>
      <c r="Q111" s="345"/>
      <c r="R111" s="345"/>
      <c r="S111" s="345"/>
      <c r="T111" s="345"/>
      <c r="U111" s="345"/>
      <c r="V111" s="345"/>
      <c r="W111" s="345"/>
      <c r="X111" s="345"/>
      <c r="Y111" s="345"/>
      <c r="Z111" s="345"/>
    </row>
    <row r="112" spans="1:26">
      <c r="A112" s="345"/>
      <c r="B112" s="345"/>
      <c r="C112" s="345"/>
      <c r="D112" s="345"/>
      <c r="E112" s="345"/>
      <c r="F112" s="345"/>
      <c r="G112" s="345"/>
      <c r="H112" s="345"/>
      <c r="I112" s="345"/>
      <c r="J112" s="345"/>
      <c r="K112" s="345"/>
      <c r="L112" s="345"/>
      <c r="M112" s="345"/>
      <c r="N112" s="345"/>
      <c r="O112" s="345"/>
      <c r="P112" s="345"/>
      <c r="Q112" s="345"/>
      <c r="R112" s="345"/>
      <c r="S112" s="345"/>
      <c r="T112" s="345"/>
      <c r="U112" s="345"/>
      <c r="V112" s="345"/>
      <c r="W112" s="345"/>
      <c r="X112" s="345"/>
      <c r="Y112" s="345"/>
      <c r="Z112" s="345"/>
    </row>
    <row r="113" spans="1:26">
      <c r="A113" s="345"/>
      <c r="B113" s="345"/>
      <c r="C113" s="345"/>
      <c r="D113" s="345"/>
      <c r="E113" s="345"/>
      <c r="F113" s="345"/>
      <c r="G113" s="345"/>
      <c r="H113" s="345"/>
      <c r="I113" s="345"/>
      <c r="J113" s="345"/>
      <c r="K113" s="345"/>
      <c r="L113" s="345"/>
      <c r="M113" s="345"/>
      <c r="N113" s="345"/>
      <c r="O113" s="345"/>
      <c r="P113" s="345"/>
      <c r="Q113" s="345"/>
      <c r="R113" s="345"/>
      <c r="S113" s="345"/>
      <c r="T113" s="345"/>
      <c r="U113" s="345"/>
      <c r="V113" s="345"/>
      <c r="W113" s="345"/>
      <c r="X113" s="345"/>
      <c r="Y113" s="345"/>
      <c r="Z113" s="345"/>
    </row>
    <row r="114" spans="1:26">
      <c r="A114" s="345"/>
      <c r="B114" s="345"/>
      <c r="C114" s="345"/>
      <c r="D114" s="345"/>
      <c r="E114" s="345"/>
      <c r="F114" s="345"/>
      <c r="G114" s="345"/>
      <c r="H114" s="345"/>
      <c r="I114" s="345"/>
      <c r="J114" s="345"/>
      <c r="K114" s="345"/>
      <c r="L114" s="345"/>
      <c r="M114" s="345"/>
      <c r="N114" s="345"/>
      <c r="O114" s="345"/>
      <c r="P114" s="345"/>
      <c r="Q114" s="345"/>
      <c r="R114" s="345"/>
      <c r="S114" s="345"/>
      <c r="T114" s="345"/>
      <c r="U114" s="345"/>
      <c r="V114" s="345"/>
      <c r="W114" s="345"/>
      <c r="X114" s="345"/>
      <c r="Y114" s="345"/>
      <c r="Z114" s="345"/>
    </row>
    <row r="115" spans="1:26">
      <c r="A115" s="345"/>
      <c r="B115" s="345"/>
      <c r="C115" s="345"/>
      <c r="D115" s="345"/>
      <c r="E115" s="345"/>
      <c r="F115" s="345"/>
      <c r="G115" s="345"/>
      <c r="H115" s="345"/>
      <c r="I115" s="345"/>
      <c r="J115" s="345"/>
      <c r="K115" s="345"/>
      <c r="L115" s="345"/>
      <c r="M115" s="345"/>
      <c r="N115" s="345"/>
      <c r="O115" s="345"/>
      <c r="P115" s="345"/>
      <c r="Q115" s="345"/>
      <c r="R115" s="345"/>
      <c r="S115" s="345"/>
      <c r="T115" s="345"/>
      <c r="U115" s="345"/>
      <c r="V115" s="345"/>
      <c r="W115" s="345"/>
      <c r="X115" s="345"/>
      <c r="Y115" s="345"/>
      <c r="Z115" s="345"/>
    </row>
    <row r="116" spans="1:26">
      <c r="A116" s="345"/>
      <c r="B116" s="345"/>
      <c r="C116" s="345"/>
      <c r="D116" s="345"/>
      <c r="E116" s="345"/>
      <c r="F116" s="345"/>
      <c r="G116" s="345"/>
      <c r="H116" s="345"/>
      <c r="I116" s="345"/>
      <c r="J116" s="345"/>
      <c r="K116" s="345"/>
      <c r="L116" s="345"/>
      <c r="M116" s="345"/>
      <c r="N116" s="345"/>
      <c r="O116" s="345"/>
      <c r="P116" s="345"/>
      <c r="Q116" s="345"/>
      <c r="R116" s="345"/>
      <c r="S116" s="345"/>
      <c r="T116" s="345"/>
      <c r="U116" s="345"/>
      <c r="V116" s="345"/>
      <c r="W116" s="345"/>
      <c r="X116" s="345"/>
      <c r="Y116" s="345"/>
      <c r="Z116" s="345"/>
    </row>
    <row r="117" spans="1:26">
      <c r="A117" s="345"/>
      <c r="B117" s="345"/>
      <c r="C117" s="345"/>
      <c r="D117" s="345"/>
      <c r="E117" s="345"/>
      <c r="F117" s="345"/>
      <c r="G117" s="345"/>
      <c r="H117" s="345"/>
      <c r="I117" s="345"/>
      <c r="J117" s="345"/>
      <c r="K117" s="345"/>
      <c r="L117" s="345"/>
      <c r="M117" s="345"/>
      <c r="N117" s="345"/>
      <c r="O117" s="345"/>
      <c r="P117" s="345"/>
      <c r="Q117" s="345"/>
      <c r="R117" s="345"/>
      <c r="S117" s="345"/>
      <c r="T117" s="345"/>
      <c r="U117" s="345"/>
      <c r="V117" s="345"/>
      <c r="W117" s="345"/>
      <c r="X117" s="345"/>
      <c r="Y117" s="345"/>
      <c r="Z117" s="345"/>
    </row>
    <row r="118" spans="1:26">
      <c r="A118" s="345"/>
      <c r="B118" s="345"/>
      <c r="C118" s="345"/>
      <c r="D118" s="345"/>
      <c r="E118" s="345"/>
      <c r="F118" s="345"/>
      <c r="G118" s="345"/>
      <c r="H118" s="345"/>
      <c r="I118" s="345"/>
      <c r="J118" s="345"/>
      <c r="K118" s="345"/>
      <c r="L118" s="345"/>
      <c r="M118" s="345"/>
      <c r="N118" s="345"/>
      <c r="O118" s="345"/>
      <c r="P118" s="345"/>
      <c r="Q118" s="345"/>
      <c r="R118" s="345"/>
      <c r="S118" s="345"/>
      <c r="T118" s="345"/>
      <c r="U118" s="345"/>
      <c r="V118" s="345"/>
      <c r="W118" s="345"/>
      <c r="X118" s="345"/>
      <c r="Y118" s="345"/>
      <c r="Z118" s="345"/>
    </row>
    <row r="119" spans="1:26">
      <c r="A119" s="345"/>
      <c r="B119" s="345"/>
      <c r="C119" s="345"/>
      <c r="D119" s="345"/>
      <c r="E119" s="345"/>
      <c r="F119" s="345"/>
      <c r="G119" s="345"/>
      <c r="H119" s="345"/>
      <c r="I119" s="345"/>
      <c r="J119" s="345"/>
      <c r="K119" s="345"/>
      <c r="L119" s="345"/>
      <c r="M119" s="345"/>
      <c r="N119" s="345"/>
      <c r="O119" s="345"/>
      <c r="P119" s="345"/>
      <c r="Q119" s="345"/>
      <c r="R119" s="345"/>
      <c r="S119" s="345"/>
      <c r="T119" s="345"/>
      <c r="U119" s="345"/>
      <c r="V119" s="345"/>
      <c r="W119" s="345"/>
      <c r="X119" s="345"/>
      <c r="Y119" s="345"/>
      <c r="Z119" s="345"/>
    </row>
    <row r="120" spans="1:26">
      <c r="A120" s="345"/>
      <c r="B120" s="345"/>
      <c r="C120" s="345"/>
      <c r="D120" s="345"/>
      <c r="E120" s="345"/>
      <c r="F120" s="345"/>
      <c r="G120" s="345"/>
      <c r="H120" s="345"/>
      <c r="I120" s="345"/>
      <c r="J120" s="345"/>
      <c r="K120" s="345"/>
      <c r="L120" s="345"/>
      <c r="M120" s="345"/>
      <c r="N120" s="345"/>
      <c r="O120" s="345"/>
      <c r="P120" s="345"/>
      <c r="Q120" s="345"/>
      <c r="R120" s="345"/>
      <c r="S120" s="345"/>
      <c r="T120" s="345"/>
      <c r="U120" s="345"/>
      <c r="V120" s="345"/>
      <c r="W120" s="345"/>
      <c r="X120" s="345"/>
      <c r="Y120" s="345"/>
      <c r="Z120" s="345"/>
    </row>
    <row r="121" spans="1:26">
      <c r="A121" s="345"/>
      <c r="B121" s="345"/>
      <c r="C121" s="345"/>
      <c r="D121" s="345"/>
      <c r="E121" s="345"/>
      <c r="F121" s="345"/>
      <c r="G121" s="345"/>
      <c r="H121" s="345"/>
      <c r="I121" s="345"/>
      <c r="J121" s="345"/>
      <c r="K121" s="345"/>
      <c r="L121" s="345"/>
      <c r="M121" s="345"/>
      <c r="N121" s="345"/>
      <c r="O121" s="345"/>
      <c r="P121" s="345"/>
      <c r="Q121" s="345"/>
      <c r="R121" s="345"/>
      <c r="S121" s="345"/>
      <c r="T121" s="345"/>
      <c r="U121" s="345"/>
      <c r="V121" s="345"/>
      <c r="W121" s="345"/>
      <c r="X121" s="345"/>
      <c r="Y121" s="345"/>
      <c r="Z121" s="345"/>
    </row>
    <row r="122" spans="1:26">
      <c r="A122" s="345"/>
      <c r="B122" s="345"/>
      <c r="C122" s="345"/>
      <c r="D122" s="345"/>
      <c r="E122" s="345"/>
      <c r="F122" s="345"/>
      <c r="G122" s="345"/>
      <c r="H122" s="345"/>
      <c r="I122" s="345"/>
      <c r="J122" s="345"/>
      <c r="K122" s="345"/>
      <c r="L122" s="345"/>
      <c r="M122" s="345"/>
      <c r="N122" s="345"/>
      <c r="O122" s="345"/>
      <c r="P122" s="345"/>
      <c r="Q122" s="345"/>
      <c r="R122" s="345"/>
      <c r="S122" s="345"/>
      <c r="T122" s="345"/>
      <c r="U122" s="345"/>
      <c r="V122" s="345"/>
      <c r="W122" s="345"/>
      <c r="X122" s="345"/>
      <c r="Y122" s="345"/>
      <c r="Z122" s="345"/>
    </row>
    <row r="123" spans="1:26">
      <c r="A123" s="345"/>
      <c r="B123" s="345"/>
      <c r="C123" s="345"/>
      <c r="D123" s="345"/>
      <c r="E123" s="345"/>
      <c r="F123" s="345"/>
      <c r="G123" s="345"/>
      <c r="H123" s="345"/>
      <c r="I123" s="345"/>
      <c r="J123" s="345"/>
      <c r="K123" s="345"/>
      <c r="L123" s="345"/>
      <c r="M123" s="345"/>
      <c r="N123" s="345"/>
      <c r="O123" s="345"/>
      <c r="P123" s="345"/>
      <c r="Q123" s="345"/>
      <c r="R123" s="345"/>
      <c r="S123" s="345"/>
      <c r="T123" s="345"/>
      <c r="U123" s="345"/>
      <c r="V123" s="345"/>
      <c r="W123" s="345"/>
      <c r="X123" s="345"/>
      <c r="Y123" s="345"/>
      <c r="Z123" s="345"/>
    </row>
    <row r="124" spans="1:26">
      <c r="A124" s="345"/>
      <c r="B124" s="345"/>
      <c r="C124" s="345"/>
      <c r="D124" s="345"/>
      <c r="E124" s="345"/>
      <c r="F124" s="345"/>
      <c r="G124" s="345"/>
      <c r="H124" s="345"/>
      <c r="I124" s="345"/>
      <c r="J124" s="345"/>
      <c r="K124" s="345"/>
      <c r="L124" s="345"/>
      <c r="M124" s="345"/>
      <c r="N124" s="345"/>
      <c r="O124" s="345"/>
      <c r="P124" s="345"/>
      <c r="Q124" s="345"/>
      <c r="R124" s="345"/>
      <c r="S124" s="345"/>
      <c r="T124" s="345"/>
      <c r="U124" s="345"/>
      <c r="V124" s="345"/>
      <c r="W124" s="345"/>
      <c r="X124" s="345"/>
      <c r="Y124" s="345"/>
      <c r="Z124" s="345"/>
    </row>
    <row r="125" spans="1:26">
      <c r="A125" s="345"/>
      <c r="B125" s="345"/>
      <c r="C125" s="345"/>
      <c r="D125" s="345"/>
      <c r="E125" s="345"/>
      <c r="F125" s="345"/>
      <c r="G125" s="345"/>
      <c r="H125" s="345"/>
      <c r="I125" s="345"/>
      <c r="J125" s="345"/>
      <c r="K125" s="345"/>
      <c r="L125" s="345"/>
      <c r="M125" s="345"/>
      <c r="N125" s="345"/>
      <c r="O125" s="345"/>
      <c r="P125" s="345"/>
      <c r="Q125" s="345"/>
      <c r="R125" s="345"/>
      <c r="S125" s="345"/>
      <c r="T125" s="345"/>
      <c r="U125" s="345"/>
      <c r="V125" s="345"/>
      <c r="W125" s="345"/>
      <c r="X125" s="345"/>
      <c r="Y125" s="345"/>
      <c r="Z125" s="345"/>
    </row>
    <row r="126" spans="1:26">
      <c r="A126" s="345"/>
      <c r="B126" s="345"/>
      <c r="C126" s="345"/>
      <c r="D126" s="345"/>
      <c r="E126" s="345"/>
      <c r="F126" s="345"/>
      <c r="G126" s="345"/>
      <c r="H126" s="345"/>
      <c r="I126" s="345"/>
      <c r="J126" s="345"/>
      <c r="K126" s="345"/>
      <c r="L126" s="345"/>
      <c r="M126" s="345"/>
      <c r="N126" s="345"/>
      <c r="O126" s="345"/>
      <c r="P126" s="345"/>
      <c r="Q126" s="345"/>
      <c r="R126" s="345"/>
      <c r="S126" s="345"/>
      <c r="T126" s="345"/>
      <c r="U126" s="345"/>
      <c r="V126" s="345"/>
      <c r="W126" s="345"/>
      <c r="X126" s="345"/>
      <c r="Y126" s="345"/>
      <c r="Z126" s="345"/>
    </row>
    <row r="127" spans="1:26">
      <c r="A127" s="345"/>
      <c r="B127" s="345"/>
      <c r="C127" s="345"/>
      <c r="D127" s="345"/>
      <c r="E127" s="345"/>
      <c r="F127" s="345"/>
      <c r="G127" s="345"/>
      <c r="H127" s="345"/>
      <c r="I127" s="345"/>
      <c r="J127" s="345"/>
      <c r="K127" s="345"/>
      <c r="L127" s="345"/>
      <c r="M127" s="345"/>
      <c r="N127" s="345"/>
      <c r="O127" s="345"/>
      <c r="P127" s="345"/>
      <c r="Q127" s="345"/>
      <c r="R127" s="345"/>
      <c r="S127" s="345"/>
      <c r="T127" s="345"/>
      <c r="U127" s="345"/>
      <c r="V127" s="345"/>
      <c r="W127" s="345"/>
      <c r="X127" s="345"/>
      <c r="Y127" s="345"/>
      <c r="Z127" s="345"/>
    </row>
    <row r="128" spans="1:26">
      <c r="A128" s="345"/>
      <c r="B128" s="345"/>
      <c r="C128" s="345"/>
      <c r="D128" s="345"/>
      <c r="E128" s="345"/>
      <c r="F128" s="345"/>
      <c r="G128" s="345"/>
      <c r="H128" s="345"/>
      <c r="I128" s="345"/>
      <c r="J128" s="345"/>
      <c r="K128" s="345"/>
      <c r="L128" s="345"/>
      <c r="M128" s="345"/>
      <c r="N128" s="345"/>
      <c r="O128" s="345"/>
      <c r="P128" s="345"/>
      <c r="Q128" s="345"/>
      <c r="R128" s="345"/>
      <c r="S128" s="345"/>
      <c r="T128" s="345"/>
      <c r="U128" s="345"/>
      <c r="V128" s="345"/>
      <c r="W128" s="345"/>
      <c r="X128" s="345"/>
      <c r="Y128" s="345"/>
      <c r="Z128" s="345"/>
    </row>
    <row r="129" spans="1:26">
      <c r="A129" s="345"/>
      <c r="B129" s="345"/>
      <c r="C129" s="345"/>
      <c r="D129" s="345"/>
      <c r="E129" s="345"/>
      <c r="F129" s="345"/>
      <c r="G129" s="345"/>
      <c r="H129" s="345"/>
      <c r="I129" s="345"/>
      <c r="J129" s="345"/>
      <c r="K129" s="345"/>
      <c r="L129" s="345"/>
      <c r="M129" s="345"/>
      <c r="N129" s="345"/>
      <c r="O129" s="345"/>
      <c r="P129" s="345"/>
      <c r="Q129" s="345"/>
      <c r="R129" s="345"/>
      <c r="S129" s="345"/>
      <c r="T129" s="345"/>
      <c r="U129" s="345"/>
      <c r="V129" s="345"/>
      <c r="W129" s="345"/>
      <c r="X129" s="345"/>
      <c r="Y129" s="345"/>
      <c r="Z129" s="345"/>
    </row>
    <row r="130" spans="1:26">
      <c r="A130" s="345"/>
      <c r="B130" s="345"/>
      <c r="C130" s="345"/>
      <c r="D130" s="345"/>
      <c r="E130" s="345"/>
      <c r="F130" s="345"/>
      <c r="G130" s="345"/>
      <c r="H130" s="345"/>
      <c r="I130" s="345"/>
      <c r="J130" s="345"/>
      <c r="K130" s="345"/>
      <c r="L130" s="345"/>
      <c r="M130" s="345"/>
      <c r="N130" s="345"/>
      <c r="O130" s="345"/>
      <c r="P130" s="345"/>
      <c r="Q130" s="345"/>
      <c r="R130" s="345"/>
      <c r="S130" s="345"/>
      <c r="T130" s="345"/>
      <c r="U130" s="345"/>
      <c r="V130" s="345"/>
      <c r="W130" s="345"/>
      <c r="X130" s="345"/>
      <c r="Y130" s="345"/>
      <c r="Z130" s="345"/>
    </row>
    <row r="131" spans="1:26">
      <c r="A131" s="345"/>
      <c r="B131" s="345"/>
      <c r="C131" s="345"/>
      <c r="D131" s="345"/>
      <c r="E131" s="345"/>
      <c r="F131" s="345"/>
      <c r="G131" s="345"/>
      <c r="H131" s="345"/>
      <c r="I131" s="345"/>
      <c r="J131" s="345"/>
      <c r="K131" s="345"/>
      <c r="L131" s="345"/>
      <c r="M131" s="345"/>
      <c r="N131" s="345"/>
      <c r="O131" s="345"/>
      <c r="P131" s="345"/>
      <c r="Q131" s="345"/>
      <c r="R131" s="345"/>
      <c r="S131" s="345"/>
      <c r="T131" s="345"/>
      <c r="U131" s="345"/>
      <c r="V131" s="345"/>
      <c r="W131" s="345"/>
      <c r="X131" s="345"/>
      <c r="Y131" s="345"/>
      <c r="Z131" s="345"/>
    </row>
    <row r="132" spans="1:26">
      <c r="A132" s="345"/>
      <c r="B132" s="345"/>
      <c r="C132" s="345"/>
      <c r="D132" s="345"/>
      <c r="E132" s="345"/>
      <c r="F132" s="345"/>
      <c r="G132" s="345"/>
      <c r="H132" s="345"/>
      <c r="I132" s="345"/>
      <c r="J132" s="345"/>
      <c r="K132" s="345"/>
      <c r="L132" s="345"/>
      <c r="M132" s="345"/>
      <c r="N132" s="345"/>
      <c r="O132" s="345"/>
      <c r="P132" s="345"/>
      <c r="Q132" s="345"/>
      <c r="R132" s="345"/>
      <c r="S132" s="345"/>
      <c r="T132" s="345"/>
      <c r="U132" s="345"/>
      <c r="V132" s="345"/>
      <c r="W132" s="345"/>
      <c r="X132" s="345"/>
      <c r="Y132" s="345"/>
      <c r="Z132" s="345"/>
    </row>
    <row r="133" spans="1:26">
      <c r="A133" s="345"/>
      <c r="B133" s="345"/>
      <c r="C133" s="345"/>
      <c r="D133" s="345"/>
      <c r="E133" s="345"/>
      <c r="F133" s="345"/>
      <c r="G133" s="345"/>
      <c r="H133" s="345"/>
      <c r="I133" s="345"/>
      <c r="J133" s="345"/>
      <c r="K133" s="345"/>
      <c r="L133" s="345"/>
      <c r="M133" s="345"/>
      <c r="N133" s="345"/>
      <c r="O133" s="345"/>
      <c r="P133" s="345"/>
      <c r="Q133" s="345"/>
      <c r="R133" s="345"/>
      <c r="S133" s="345"/>
      <c r="T133" s="345"/>
      <c r="U133" s="345"/>
      <c r="V133" s="345"/>
      <c r="W133" s="345"/>
      <c r="X133" s="345"/>
      <c r="Y133" s="345"/>
      <c r="Z133" s="345"/>
    </row>
    <row r="134" spans="1:26">
      <c r="A134" s="345"/>
      <c r="B134" s="345"/>
      <c r="C134" s="345"/>
      <c r="D134" s="345"/>
      <c r="E134" s="345"/>
      <c r="F134" s="345"/>
      <c r="G134" s="345"/>
      <c r="H134" s="345"/>
      <c r="I134" s="345"/>
      <c r="J134" s="345"/>
      <c r="K134" s="345"/>
      <c r="L134" s="345"/>
      <c r="M134" s="345"/>
      <c r="N134" s="345"/>
      <c r="O134" s="345"/>
      <c r="P134" s="345"/>
      <c r="Q134" s="345"/>
      <c r="R134" s="345"/>
      <c r="S134" s="345"/>
      <c r="T134" s="345"/>
      <c r="U134" s="345"/>
      <c r="V134" s="345"/>
      <c r="W134" s="345"/>
      <c r="X134" s="345"/>
      <c r="Y134" s="345"/>
      <c r="Z134" s="345"/>
    </row>
    <row r="135" spans="1:26">
      <c r="A135" s="345"/>
      <c r="B135" s="345"/>
      <c r="C135" s="345"/>
      <c r="D135" s="345"/>
      <c r="E135" s="345"/>
      <c r="F135" s="345"/>
      <c r="G135" s="345"/>
      <c r="H135" s="345"/>
      <c r="I135" s="345"/>
      <c r="J135" s="345"/>
      <c r="K135" s="345"/>
      <c r="L135" s="345"/>
      <c r="M135" s="345"/>
      <c r="N135" s="345"/>
      <c r="O135" s="345"/>
      <c r="P135" s="345"/>
      <c r="Q135" s="345"/>
      <c r="R135" s="345"/>
      <c r="S135" s="345"/>
      <c r="T135" s="345"/>
      <c r="U135" s="345"/>
      <c r="V135" s="345"/>
      <c r="W135" s="345"/>
      <c r="X135" s="345"/>
      <c r="Y135" s="345"/>
      <c r="Z135" s="345"/>
    </row>
    <row r="136" spans="1:26">
      <c r="A136" s="345"/>
      <c r="B136" s="345"/>
      <c r="C136" s="345"/>
      <c r="D136" s="345"/>
      <c r="E136" s="345"/>
      <c r="F136" s="345"/>
      <c r="G136" s="345"/>
      <c r="H136" s="345"/>
      <c r="I136" s="345"/>
      <c r="J136" s="345"/>
      <c r="K136" s="345"/>
      <c r="L136" s="345"/>
      <c r="M136" s="345"/>
      <c r="N136" s="345"/>
      <c r="O136" s="345"/>
      <c r="P136" s="345"/>
      <c r="Q136" s="345"/>
      <c r="R136" s="345"/>
      <c r="S136" s="345"/>
      <c r="T136" s="345"/>
      <c r="U136" s="345"/>
      <c r="V136" s="345"/>
      <c r="W136" s="345"/>
      <c r="X136" s="345"/>
      <c r="Y136" s="345"/>
      <c r="Z136" s="345"/>
    </row>
    <row r="137" spans="1:26">
      <c r="A137" s="345"/>
      <c r="B137" s="345"/>
      <c r="C137" s="345"/>
      <c r="D137" s="345"/>
      <c r="E137" s="345"/>
      <c r="F137" s="345"/>
      <c r="G137" s="345"/>
      <c r="H137" s="345"/>
      <c r="I137" s="345"/>
      <c r="J137" s="345"/>
      <c r="K137" s="345"/>
      <c r="L137" s="345"/>
      <c r="M137" s="345"/>
      <c r="N137" s="345"/>
      <c r="O137" s="345"/>
      <c r="P137" s="345"/>
      <c r="Q137" s="345"/>
      <c r="R137" s="345"/>
      <c r="S137" s="345"/>
      <c r="T137" s="345"/>
      <c r="U137" s="345"/>
      <c r="V137" s="345"/>
      <c r="W137" s="345"/>
      <c r="X137" s="345"/>
      <c r="Y137" s="345"/>
      <c r="Z137" s="345"/>
    </row>
    <row r="138" spans="1:26">
      <c r="A138" s="345"/>
      <c r="B138" s="345"/>
      <c r="C138" s="345"/>
      <c r="D138" s="345"/>
      <c r="E138" s="345"/>
      <c r="F138" s="345"/>
      <c r="G138" s="345"/>
      <c r="H138" s="345"/>
      <c r="I138" s="345"/>
      <c r="J138" s="345"/>
      <c r="K138" s="345"/>
      <c r="L138" s="345"/>
      <c r="M138" s="345"/>
      <c r="N138" s="345"/>
      <c r="O138" s="345"/>
      <c r="P138" s="345"/>
      <c r="Q138" s="345"/>
      <c r="R138" s="345"/>
      <c r="S138" s="345"/>
      <c r="T138" s="345"/>
      <c r="U138" s="345"/>
      <c r="V138" s="345"/>
      <c r="W138" s="345"/>
      <c r="X138" s="345"/>
      <c r="Y138" s="345"/>
      <c r="Z138" s="345"/>
    </row>
    <row r="139" spans="1:26">
      <c r="A139" s="345"/>
      <c r="B139" s="345"/>
      <c r="C139" s="345"/>
      <c r="D139" s="345"/>
      <c r="E139" s="345"/>
      <c r="F139" s="345"/>
      <c r="G139" s="345"/>
      <c r="H139" s="345"/>
      <c r="I139" s="345"/>
      <c r="J139" s="345"/>
      <c r="K139" s="345"/>
      <c r="L139" s="345"/>
      <c r="M139" s="345"/>
      <c r="N139" s="345"/>
      <c r="O139" s="345"/>
      <c r="P139" s="345"/>
      <c r="Q139" s="345"/>
      <c r="R139" s="345"/>
      <c r="S139" s="345"/>
      <c r="T139" s="345"/>
      <c r="U139" s="345"/>
      <c r="V139" s="345"/>
      <c r="W139" s="345"/>
      <c r="X139" s="345"/>
      <c r="Y139" s="345"/>
      <c r="Z139" s="345"/>
    </row>
    <row r="140" spans="1:26">
      <c r="A140" s="345"/>
      <c r="B140" s="345"/>
      <c r="C140" s="345"/>
      <c r="D140" s="345"/>
      <c r="E140" s="345"/>
      <c r="F140" s="345"/>
      <c r="G140" s="345"/>
      <c r="H140" s="345"/>
      <c r="I140" s="345"/>
      <c r="J140" s="345"/>
      <c r="K140" s="345"/>
      <c r="L140" s="345"/>
      <c r="M140" s="345"/>
      <c r="N140" s="345"/>
      <c r="O140" s="345"/>
      <c r="P140" s="345"/>
      <c r="Q140" s="345"/>
      <c r="R140" s="345"/>
      <c r="S140" s="345"/>
      <c r="T140" s="345"/>
      <c r="U140" s="345"/>
      <c r="V140" s="345"/>
      <c r="W140" s="345"/>
      <c r="X140" s="345"/>
      <c r="Y140" s="345"/>
      <c r="Z140" s="345"/>
    </row>
    <row r="141" spans="1:26">
      <c r="A141" s="345"/>
      <c r="B141" s="345"/>
      <c r="C141" s="345"/>
      <c r="D141" s="345"/>
      <c r="E141" s="345"/>
      <c r="F141" s="345"/>
      <c r="G141" s="345"/>
      <c r="H141" s="345"/>
      <c r="I141" s="345"/>
      <c r="J141" s="345"/>
      <c r="K141" s="345"/>
      <c r="L141" s="345"/>
      <c r="M141" s="345"/>
      <c r="N141" s="345"/>
      <c r="O141" s="345"/>
      <c r="P141" s="345"/>
      <c r="Q141" s="345"/>
      <c r="R141" s="345"/>
      <c r="S141" s="345"/>
      <c r="T141" s="345"/>
      <c r="U141" s="345"/>
      <c r="V141" s="345"/>
      <c r="W141" s="345"/>
      <c r="X141" s="345"/>
      <c r="Y141" s="345"/>
      <c r="Z141" s="345"/>
    </row>
    <row r="142" spans="1:26">
      <c r="A142" s="345"/>
      <c r="B142" s="345"/>
      <c r="C142" s="345"/>
      <c r="D142" s="345"/>
      <c r="E142" s="345"/>
      <c r="F142" s="345"/>
      <c r="G142" s="345"/>
      <c r="H142" s="345"/>
      <c r="I142" s="345"/>
      <c r="J142" s="345"/>
      <c r="K142" s="345"/>
      <c r="L142" s="345"/>
      <c r="M142" s="345"/>
      <c r="N142" s="345"/>
      <c r="O142" s="345"/>
      <c r="P142" s="345"/>
      <c r="Q142" s="345"/>
      <c r="R142" s="345"/>
      <c r="S142" s="345"/>
      <c r="T142" s="345"/>
      <c r="U142" s="345"/>
      <c r="V142" s="345"/>
      <c r="W142" s="345"/>
      <c r="X142" s="345"/>
      <c r="Y142" s="345"/>
      <c r="Z142" s="345"/>
    </row>
    <row r="143" spans="1:26">
      <c r="A143" s="345"/>
      <c r="B143" s="345"/>
      <c r="C143" s="345"/>
      <c r="D143" s="345"/>
      <c r="E143" s="345"/>
      <c r="F143" s="345"/>
      <c r="G143" s="345"/>
      <c r="H143" s="345"/>
      <c r="I143" s="345"/>
      <c r="J143" s="345"/>
      <c r="K143" s="345"/>
      <c r="L143" s="345"/>
      <c r="M143" s="345"/>
      <c r="N143" s="345"/>
      <c r="O143" s="345"/>
      <c r="P143" s="345"/>
      <c r="Q143" s="345"/>
      <c r="R143" s="345"/>
      <c r="S143" s="345"/>
      <c r="T143" s="345"/>
      <c r="U143" s="345"/>
      <c r="V143" s="345"/>
      <c r="W143" s="345"/>
      <c r="X143" s="345"/>
      <c r="Y143" s="345"/>
      <c r="Z143" s="345"/>
    </row>
    <row r="144" spans="1:26">
      <c r="A144" s="345"/>
      <c r="B144" s="345"/>
      <c r="C144" s="345"/>
      <c r="D144" s="345"/>
      <c r="E144" s="345"/>
      <c r="F144" s="345"/>
      <c r="G144" s="345"/>
      <c r="H144" s="345"/>
      <c r="I144" s="345"/>
      <c r="J144" s="345"/>
      <c r="K144" s="345"/>
      <c r="L144" s="345"/>
      <c r="M144" s="345"/>
      <c r="N144" s="345"/>
      <c r="O144" s="345"/>
      <c r="P144" s="345"/>
      <c r="Q144" s="345"/>
      <c r="R144" s="345"/>
      <c r="S144" s="345"/>
      <c r="T144" s="345"/>
      <c r="U144" s="345"/>
      <c r="V144" s="345"/>
      <c r="W144" s="345"/>
      <c r="X144" s="345"/>
      <c r="Y144" s="345"/>
      <c r="Z144" s="345"/>
    </row>
    <row r="145" spans="1:26">
      <c r="A145" s="345"/>
      <c r="B145" s="345"/>
      <c r="C145" s="345"/>
      <c r="D145" s="345"/>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row>
    <row r="146" spans="1:26">
      <c r="A146" s="345"/>
      <c r="B146" s="345"/>
      <c r="C146" s="345"/>
      <c r="D146" s="345"/>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row>
    <row r="147" spans="1:26">
      <c r="A147" s="345"/>
      <c r="B147" s="345"/>
      <c r="C147" s="345"/>
      <c r="D147" s="345"/>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row>
    <row r="148" spans="1:26">
      <c r="A148" s="345"/>
      <c r="B148" s="345"/>
      <c r="C148" s="345"/>
      <c r="D148" s="345"/>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row>
    <row r="149" spans="1:26">
      <c r="A149" s="345"/>
      <c r="B149" s="345"/>
      <c r="C149" s="345"/>
      <c r="D149" s="345"/>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row>
    <row r="150" spans="1:26">
      <c r="A150" s="345"/>
      <c r="B150" s="345"/>
      <c r="C150" s="345"/>
      <c r="D150" s="345"/>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row>
    <row r="151" spans="1:26">
      <c r="A151" s="345"/>
      <c r="B151" s="345"/>
      <c r="C151" s="345"/>
      <c r="D151" s="345"/>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row>
    <row r="152" spans="1:26">
      <c r="A152" s="345"/>
      <c r="B152" s="345"/>
      <c r="C152" s="345"/>
      <c r="D152" s="345"/>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row>
    <row r="153" spans="1:26">
      <c r="A153" s="345"/>
      <c r="B153" s="345"/>
      <c r="C153" s="345"/>
      <c r="D153" s="345"/>
      <c r="E153" s="345"/>
      <c r="F153" s="345"/>
      <c r="G153" s="345"/>
      <c r="H153" s="345"/>
      <c r="I153" s="345"/>
      <c r="J153" s="345"/>
      <c r="K153" s="345"/>
      <c r="L153" s="345"/>
      <c r="M153" s="345"/>
      <c r="N153" s="345"/>
      <c r="O153" s="345"/>
      <c r="P153" s="345"/>
      <c r="Q153" s="345"/>
      <c r="R153" s="345"/>
      <c r="S153" s="345"/>
      <c r="T153" s="345"/>
      <c r="U153" s="345"/>
      <c r="V153" s="345"/>
      <c r="W153" s="345"/>
      <c r="X153" s="345"/>
      <c r="Y153" s="345"/>
      <c r="Z153" s="345"/>
    </row>
    <row r="154" spans="1:26">
      <c r="A154" s="345"/>
      <c r="B154" s="345"/>
      <c r="C154" s="345"/>
      <c r="D154" s="345"/>
      <c r="E154" s="345"/>
      <c r="F154" s="345"/>
      <c r="G154" s="345"/>
      <c r="H154" s="345"/>
      <c r="I154" s="345"/>
      <c r="J154" s="345"/>
      <c r="K154" s="345"/>
      <c r="L154" s="345"/>
      <c r="M154" s="345"/>
      <c r="N154" s="345"/>
      <c r="O154" s="345"/>
      <c r="P154" s="345"/>
      <c r="Q154" s="345"/>
      <c r="R154" s="345"/>
      <c r="S154" s="345"/>
      <c r="T154" s="345"/>
      <c r="U154" s="345"/>
      <c r="V154" s="345"/>
      <c r="W154" s="345"/>
      <c r="X154" s="345"/>
      <c r="Y154" s="345"/>
      <c r="Z154" s="345"/>
    </row>
    <row r="155" spans="1:26">
      <c r="A155" s="345"/>
      <c r="B155" s="345"/>
      <c r="C155" s="345"/>
      <c r="D155" s="345"/>
      <c r="E155" s="345"/>
      <c r="F155" s="345"/>
      <c r="G155" s="345"/>
      <c r="H155" s="345"/>
      <c r="I155" s="345"/>
      <c r="J155" s="345"/>
      <c r="K155" s="345"/>
      <c r="L155" s="345"/>
      <c r="M155" s="345"/>
      <c r="N155" s="345"/>
      <c r="O155" s="345"/>
      <c r="P155" s="345"/>
      <c r="Q155" s="345"/>
      <c r="R155" s="345"/>
      <c r="S155" s="345"/>
      <c r="T155" s="345"/>
      <c r="U155" s="345"/>
      <c r="V155" s="345"/>
      <c r="W155" s="345"/>
      <c r="X155" s="345"/>
      <c r="Y155" s="345"/>
      <c r="Z155" s="345"/>
    </row>
    <row r="156" spans="1:26">
      <c r="A156" s="345"/>
      <c r="B156" s="345"/>
      <c r="C156" s="345"/>
      <c r="D156" s="345"/>
      <c r="E156" s="345"/>
      <c r="F156" s="345"/>
      <c r="G156" s="345"/>
      <c r="H156" s="345"/>
      <c r="I156" s="345"/>
      <c r="J156" s="345"/>
      <c r="K156" s="345"/>
      <c r="L156" s="345"/>
      <c r="M156" s="345"/>
      <c r="N156" s="345"/>
      <c r="O156" s="345"/>
      <c r="P156" s="345"/>
      <c r="Q156" s="345"/>
      <c r="R156" s="345"/>
      <c r="S156" s="345"/>
      <c r="T156" s="345"/>
      <c r="U156" s="345"/>
      <c r="V156" s="345"/>
      <c r="W156" s="345"/>
      <c r="X156" s="345"/>
      <c r="Y156" s="345"/>
      <c r="Z156" s="345"/>
    </row>
    <row r="157" spans="1:26">
      <c r="A157" s="345"/>
      <c r="B157" s="345"/>
      <c r="C157" s="345"/>
      <c r="D157" s="345"/>
      <c r="E157" s="345"/>
      <c r="F157" s="345"/>
      <c r="G157" s="345"/>
      <c r="H157" s="345"/>
      <c r="I157" s="345"/>
      <c r="J157" s="345"/>
      <c r="K157" s="345"/>
      <c r="L157" s="345"/>
      <c r="M157" s="345"/>
      <c r="N157" s="345"/>
      <c r="O157" s="345"/>
      <c r="P157" s="345"/>
      <c r="Q157" s="345"/>
      <c r="R157" s="345"/>
      <c r="S157" s="345"/>
      <c r="T157" s="345"/>
      <c r="U157" s="345"/>
      <c r="V157" s="345"/>
      <c r="W157" s="345"/>
      <c r="X157" s="345"/>
      <c r="Y157" s="345"/>
      <c r="Z157" s="345"/>
    </row>
    <row r="158" spans="1:26">
      <c r="A158" s="345"/>
      <c r="B158" s="345"/>
      <c r="C158" s="345"/>
      <c r="D158" s="345"/>
      <c r="E158" s="345"/>
      <c r="F158" s="345"/>
      <c r="G158" s="345"/>
      <c r="H158" s="345"/>
      <c r="I158" s="345"/>
      <c r="J158" s="345"/>
      <c r="K158" s="345"/>
      <c r="L158" s="345"/>
      <c r="M158" s="345"/>
      <c r="N158" s="345"/>
      <c r="O158" s="345"/>
      <c r="P158" s="345"/>
      <c r="Q158" s="345"/>
      <c r="R158" s="345"/>
      <c r="S158" s="345"/>
      <c r="T158" s="345"/>
      <c r="U158" s="345"/>
      <c r="V158" s="345"/>
      <c r="W158" s="345"/>
      <c r="X158" s="345"/>
      <c r="Y158" s="345"/>
      <c r="Z158" s="345"/>
    </row>
    <row r="159" spans="1:26">
      <c r="A159" s="345"/>
      <c r="B159" s="345"/>
      <c r="C159" s="345"/>
      <c r="D159" s="345"/>
      <c r="E159" s="345"/>
      <c r="F159" s="345"/>
      <c r="G159" s="345"/>
      <c r="H159" s="345"/>
      <c r="I159" s="345"/>
      <c r="J159" s="345"/>
      <c r="K159" s="345"/>
      <c r="L159" s="345"/>
      <c r="M159" s="345"/>
      <c r="N159" s="345"/>
      <c r="O159" s="345"/>
      <c r="P159" s="345"/>
      <c r="Q159" s="345"/>
      <c r="R159" s="345"/>
      <c r="S159" s="345"/>
      <c r="T159" s="345"/>
      <c r="U159" s="345"/>
      <c r="V159" s="345"/>
      <c r="W159" s="345"/>
      <c r="X159" s="345"/>
      <c r="Y159" s="345"/>
      <c r="Z159" s="345"/>
    </row>
    <row r="160" spans="1:26">
      <c r="A160" s="345"/>
      <c r="B160" s="345"/>
      <c r="C160" s="345"/>
      <c r="D160" s="345"/>
      <c r="E160" s="345"/>
      <c r="F160" s="345"/>
      <c r="G160" s="345"/>
      <c r="H160" s="345"/>
      <c r="I160" s="345"/>
      <c r="J160" s="345"/>
      <c r="K160" s="345"/>
      <c r="L160" s="345"/>
      <c r="M160" s="345"/>
      <c r="N160" s="345"/>
      <c r="O160" s="345"/>
      <c r="P160" s="345"/>
      <c r="Q160" s="345"/>
      <c r="R160" s="345"/>
      <c r="S160" s="345"/>
      <c r="T160" s="345"/>
      <c r="U160" s="345"/>
      <c r="V160" s="345"/>
      <c r="W160" s="345"/>
      <c r="X160" s="345"/>
      <c r="Y160" s="345"/>
      <c r="Z160" s="345"/>
    </row>
    <row r="161" spans="1:26">
      <c r="A161" s="345"/>
      <c r="B161" s="345"/>
      <c r="C161" s="345"/>
      <c r="D161" s="345"/>
      <c r="E161" s="345"/>
      <c r="F161" s="345"/>
      <c r="G161" s="345"/>
      <c r="H161" s="345"/>
      <c r="I161" s="345"/>
      <c r="J161" s="345"/>
      <c r="K161" s="345"/>
      <c r="L161" s="345"/>
      <c r="M161" s="345"/>
      <c r="N161" s="345"/>
      <c r="O161" s="345"/>
      <c r="P161" s="345"/>
      <c r="Q161" s="345"/>
      <c r="R161" s="345"/>
      <c r="S161" s="345"/>
      <c r="T161" s="345"/>
      <c r="U161" s="345"/>
      <c r="V161" s="345"/>
      <c r="W161" s="345"/>
      <c r="X161" s="345"/>
      <c r="Y161" s="345"/>
      <c r="Z161" s="345"/>
    </row>
    <row r="162" spans="1:26">
      <c r="A162" s="345"/>
      <c r="B162" s="345"/>
      <c r="C162" s="345"/>
      <c r="D162" s="345"/>
      <c r="E162" s="345"/>
      <c r="F162" s="345"/>
      <c r="G162" s="345"/>
      <c r="H162" s="345"/>
      <c r="I162" s="345"/>
      <c r="J162" s="345"/>
      <c r="K162" s="345"/>
      <c r="L162" s="345"/>
      <c r="M162" s="345"/>
      <c r="N162" s="345"/>
      <c r="O162" s="345"/>
      <c r="P162" s="345"/>
      <c r="Q162" s="345"/>
      <c r="R162" s="345"/>
      <c r="S162" s="345"/>
      <c r="T162" s="345"/>
      <c r="U162" s="345"/>
      <c r="V162" s="345"/>
      <c r="W162" s="345"/>
      <c r="X162" s="345"/>
      <c r="Y162" s="345"/>
      <c r="Z162" s="345"/>
    </row>
    <row r="163" spans="1:26">
      <c r="A163" s="345"/>
      <c r="B163" s="345"/>
      <c r="C163" s="345"/>
      <c r="D163" s="345"/>
      <c r="E163" s="345"/>
      <c r="F163" s="345"/>
      <c r="G163" s="345"/>
      <c r="H163" s="345"/>
      <c r="I163" s="345"/>
      <c r="J163" s="345"/>
      <c r="K163" s="345"/>
      <c r="L163" s="345"/>
      <c r="M163" s="345"/>
      <c r="N163" s="345"/>
      <c r="O163" s="345"/>
      <c r="P163" s="345"/>
      <c r="Q163" s="345"/>
      <c r="R163" s="345"/>
      <c r="S163" s="345"/>
      <c r="T163" s="345"/>
      <c r="U163" s="345"/>
      <c r="V163" s="345"/>
      <c r="W163" s="345"/>
      <c r="X163" s="345"/>
      <c r="Y163" s="345"/>
      <c r="Z163" s="345"/>
    </row>
    <row r="164" spans="1:26">
      <c r="A164" s="345"/>
      <c r="B164" s="345"/>
      <c r="C164" s="345"/>
      <c r="D164" s="345"/>
      <c r="E164" s="345"/>
      <c r="F164" s="345"/>
      <c r="G164" s="345"/>
      <c r="H164" s="345"/>
      <c r="I164" s="345"/>
      <c r="J164" s="345"/>
      <c r="K164" s="345"/>
      <c r="L164" s="345"/>
      <c r="M164" s="345"/>
      <c r="N164" s="345"/>
      <c r="O164" s="345"/>
      <c r="P164" s="345"/>
      <c r="Q164" s="345"/>
      <c r="R164" s="345"/>
      <c r="S164" s="345"/>
      <c r="T164" s="345"/>
      <c r="U164" s="345"/>
      <c r="V164" s="345"/>
      <c r="W164" s="345"/>
      <c r="X164" s="345"/>
      <c r="Y164" s="345"/>
      <c r="Z164" s="345"/>
    </row>
    <row r="165" spans="1:26">
      <c r="A165" s="345"/>
      <c r="B165" s="345"/>
      <c r="C165" s="345"/>
      <c r="D165" s="345"/>
      <c r="E165" s="345"/>
      <c r="F165" s="345"/>
      <c r="G165" s="345"/>
      <c r="H165" s="345"/>
      <c r="I165" s="345"/>
      <c r="J165" s="345"/>
      <c r="K165" s="345"/>
      <c r="L165" s="345"/>
      <c r="M165" s="345"/>
      <c r="N165" s="345"/>
      <c r="O165" s="345"/>
      <c r="P165" s="345"/>
      <c r="Q165" s="345"/>
      <c r="R165" s="345"/>
      <c r="S165" s="345"/>
      <c r="T165" s="345"/>
      <c r="U165" s="345"/>
      <c r="V165" s="345"/>
      <c r="W165" s="345"/>
      <c r="X165" s="345"/>
      <c r="Y165" s="345"/>
      <c r="Z165" s="345"/>
    </row>
    <row r="166" spans="1:26">
      <c r="A166" s="345"/>
      <c r="B166" s="345"/>
      <c r="C166" s="345"/>
      <c r="D166" s="345"/>
      <c r="E166" s="345"/>
      <c r="F166" s="345"/>
      <c r="G166" s="345"/>
      <c r="H166" s="345"/>
      <c r="I166" s="345"/>
      <c r="J166" s="345"/>
      <c r="K166" s="345"/>
      <c r="L166" s="345"/>
      <c r="M166" s="345"/>
      <c r="N166" s="345"/>
      <c r="O166" s="345"/>
      <c r="P166" s="345"/>
      <c r="Q166" s="345"/>
      <c r="R166" s="345"/>
      <c r="S166" s="345"/>
      <c r="T166" s="345"/>
      <c r="U166" s="345"/>
      <c r="V166" s="345"/>
      <c r="W166" s="345"/>
      <c r="X166" s="345"/>
      <c r="Y166" s="345"/>
      <c r="Z166" s="345"/>
    </row>
    <row r="167" spans="1:26">
      <c r="A167" s="345"/>
      <c r="B167" s="345"/>
      <c r="C167" s="345"/>
      <c r="D167" s="345"/>
      <c r="E167" s="345"/>
      <c r="F167" s="345"/>
      <c r="G167" s="345"/>
      <c r="H167" s="345"/>
      <c r="I167" s="345"/>
      <c r="J167" s="345"/>
      <c r="K167" s="345"/>
      <c r="L167" s="345"/>
      <c r="M167" s="345"/>
      <c r="N167" s="345"/>
      <c r="O167" s="345"/>
      <c r="P167" s="345"/>
      <c r="Q167" s="345"/>
      <c r="R167" s="345"/>
      <c r="S167" s="345"/>
      <c r="T167" s="345"/>
      <c r="U167" s="345"/>
      <c r="V167" s="345"/>
      <c r="W167" s="345"/>
      <c r="X167" s="345"/>
      <c r="Y167" s="345"/>
      <c r="Z167" s="345"/>
    </row>
    <row r="168" spans="1:26">
      <c r="A168" s="345"/>
      <c r="B168" s="345"/>
      <c r="C168" s="345"/>
      <c r="D168" s="345"/>
      <c r="E168" s="345"/>
      <c r="F168" s="345"/>
      <c r="G168" s="345"/>
      <c r="H168" s="345"/>
      <c r="I168" s="345"/>
      <c r="J168" s="345"/>
      <c r="K168" s="345"/>
      <c r="L168" s="345"/>
      <c r="M168" s="345"/>
      <c r="N168" s="345"/>
      <c r="O168" s="345"/>
      <c r="P168" s="345"/>
      <c r="Q168" s="345"/>
      <c r="R168" s="345"/>
      <c r="S168" s="345"/>
      <c r="T168" s="345"/>
      <c r="U168" s="345"/>
      <c r="V168" s="345"/>
      <c r="W168" s="345"/>
      <c r="X168" s="345"/>
      <c r="Y168" s="345"/>
      <c r="Z168" s="345"/>
    </row>
    <row r="169" spans="1:26">
      <c r="A169" s="345"/>
      <c r="B169" s="345"/>
      <c r="C169" s="345"/>
      <c r="D169" s="345"/>
      <c r="E169" s="345"/>
      <c r="F169" s="345"/>
      <c r="G169" s="345"/>
      <c r="H169" s="345"/>
      <c r="I169" s="345"/>
      <c r="J169" s="345"/>
      <c r="K169" s="345"/>
      <c r="L169" s="345"/>
      <c r="M169" s="345"/>
      <c r="N169" s="345"/>
      <c r="O169" s="345"/>
      <c r="P169" s="345"/>
      <c r="Q169" s="345"/>
      <c r="R169" s="345"/>
      <c r="S169" s="345"/>
      <c r="T169" s="345"/>
      <c r="U169" s="345"/>
      <c r="V169" s="345"/>
      <c r="W169" s="345"/>
      <c r="X169" s="345"/>
      <c r="Y169" s="345"/>
      <c r="Z169" s="345"/>
    </row>
    <row r="170" spans="1:26">
      <c r="A170" s="345"/>
      <c r="B170" s="345"/>
      <c r="C170" s="345"/>
      <c r="D170" s="345"/>
      <c r="E170" s="345"/>
      <c r="F170" s="345"/>
      <c r="G170" s="345"/>
      <c r="H170" s="345"/>
      <c r="I170" s="345"/>
      <c r="J170" s="345"/>
      <c r="K170" s="345"/>
      <c r="L170" s="345"/>
      <c r="M170" s="345"/>
      <c r="N170" s="345"/>
      <c r="O170" s="345"/>
      <c r="P170" s="345"/>
      <c r="Q170" s="345"/>
      <c r="R170" s="345"/>
      <c r="S170" s="345"/>
      <c r="T170" s="345"/>
      <c r="U170" s="345"/>
      <c r="V170" s="345"/>
      <c r="W170" s="345"/>
      <c r="X170" s="345"/>
      <c r="Y170" s="345"/>
      <c r="Z170" s="345"/>
    </row>
    <row r="171" spans="1:26">
      <c r="A171" s="345"/>
      <c r="B171" s="345"/>
      <c r="C171" s="345"/>
      <c r="D171" s="345"/>
      <c r="E171" s="345"/>
      <c r="F171" s="345"/>
      <c r="G171" s="345"/>
      <c r="H171" s="345"/>
      <c r="I171" s="345"/>
      <c r="J171" s="345"/>
      <c r="K171" s="345"/>
      <c r="L171" s="345"/>
      <c r="M171" s="345"/>
      <c r="N171" s="345"/>
      <c r="O171" s="345"/>
      <c r="P171" s="345"/>
      <c r="Q171" s="345"/>
      <c r="R171" s="345"/>
      <c r="S171" s="345"/>
      <c r="T171" s="345"/>
      <c r="U171" s="345"/>
      <c r="V171" s="345"/>
      <c r="W171" s="345"/>
      <c r="X171" s="345"/>
      <c r="Y171" s="345"/>
      <c r="Z171" s="345"/>
    </row>
    <row r="172" spans="1:26">
      <c r="A172" s="345"/>
      <c r="B172" s="345"/>
      <c r="C172" s="345"/>
      <c r="D172" s="345"/>
      <c r="E172" s="345"/>
      <c r="F172" s="345"/>
      <c r="G172" s="345"/>
      <c r="H172" s="345"/>
      <c r="I172" s="345"/>
      <c r="J172" s="345"/>
      <c r="K172" s="345"/>
      <c r="L172" s="345"/>
      <c r="M172" s="345"/>
      <c r="N172" s="345"/>
      <c r="O172" s="345"/>
      <c r="P172" s="345"/>
      <c r="Q172" s="345"/>
      <c r="R172" s="345"/>
      <c r="S172" s="345"/>
      <c r="T172" s="345"/>
      <c r="U172" s="345"/>
      <c r="V172" s="345"/>
      <c r="W172" s="345"/>
      <c r="X172" s="345"/>
      <c r="Y172" s="345"/>
      <c r="Z172" s="345"/>
    </row>
    <row r="173" spans="1:26">
      <c r="A173" s="345"/>
      <c r="B173" s="345"/>
      <c r="C173" s="345"/>
      <c r="D173" s="345"/>
      <c r="E173" s="345"/>
      <c r="F173" s="345"/>
      <c r="G173" s="345"/>
      <c r="H173" s="345"/>
      <c r="I173" s="345"/>
      <c r="J173" s="345"/>
      <c r="K173" s="345"/>
      <c r="L173" s="345"/>
      <c r="M173" s="345"/>
      <c r="N173" s="345"/>
      <c r="O173" s="345"/>
      <c r="P173" s="345"/>
      <c r="Q173" s="345"/>
      <c r="R173" s="345"/>
      <c r="S173" s="345"/>
      <c r="T173" s="345"/>
      <c r="U173" s="345"/>
      <c r="V173" s="345"/>
      <c r="W173" s="345"/>
      <c r="X173" s="345"/>
      <c r="Y173" s="345"/>
      <c r="Z173" s="345"/>
    </row>
    <row r="174" spans="1:26">
      <c r="A174" s="345"/>
      <c r="B174" s="345"/>
      <c r="C174" s="345"/>
      <c r="D174" s="345"/>
      <c r="E174" s="345"/>
      <c r="F174" s="345"/>
      <c r="G174" s="345"/>
      <c r="H174" s="345"/>
      <c r="I174" s="345"/>
      <c r="J174" s="345"/>
      <c r="K174" s="345"/>
      <c r="L174" s="345"/>
      <c r="M174" s="345"/>
      <c r="N174" s="345"/>
      <c r="O174" s="345"/>
      <c r="P174" s="345"/>
      <c r="Q174" s="345"/>
      <c r="R174" s="345"/>
      <c r="S174" s="345"/>
      <c r="T174" s="345"/>
      <c r="U174" s="345"/>
      <c r="V174" s="345"/>
      <c r="W174" s="345"/>
      <c r="X174" s="345"/>
      <c r="Y174" s="345"/>
      <c r="Z174" s="345"/>
    </row>
    <row r="175" spans="1:26">
      <c r="A175" s="345"/>
      <c r="B175" s="345"/>
      <c r="C175" s="345"/>
      <c r="D175" s="345"/>
      <c r="E175" s="345"/>
      <c r="F175" s="345"/>
      <c r="G175" s="345"/>
      <c r="H175" s="345"/>
      <c r="I175" s="345"/>
      <c r="J175" s="345"/>
      <c r="K175" s="345"/>
      <c r="L175" s="345"/>
      <c r="M175" s="345"/>
      <c r="N175" s="345"/>
      <c r="O175" s="345"/>
      <c r="P175" s="345"/>
      <c r="Q175" s="345"/>
      <c r="R175" s="345"/>
      <c r="S175" s="345"/>
      <c r="T175" s="345"/>
      <c r="U175" s="345"/>
      <c r="V175" s="345"/>
      <c r="W175" s="345"/>
      <c r="X175" s="345"/>
      <c r="Y175" s="345"/>
      <c r="Z175" s="345"/>
    </row>
    <row r="176" spans="1:26">
      <c r="A176" s="345"/>
      <c r="B176" s="345"/>
      <c r="C176" s="345"/>
      <c r="D176" s="345"/>
      <c r="E176" s="345"/>
      <c r="F176" s="345"/>
      <c r="G176" s="345"/>
      <c r="H176" s="345"/>
      <c r="I176" s="345"/>
      <c r="J176" s="345"/>
      <c r="K176" s="345"/>
      <c r="L176" s="345"/>
      <c r="M176" s="345"/>
      <c r="N176" s="345"/>
      <c r="O176" s="345"/>
      <c r="P176" s="345"/>
      <c r="Q176" s="345"/>
      <c r="R176" s="345"/>
      <c r="S176" s="345"/>
      <c r="T176" s="345"/>
      <c r="U176" s="345"/>
      <c r="V176" s="345"/>
      <c r="W176" s="345"/>
      <c r="X176" s="345"/>
      <c r="Y176" s="345"/>
      <c r="Z176" s="345"/>
    </row>
    <row r="177" spans="1:26">
      <c r="A177" s="345"/>
      <c r="B177" s="345"/>
      <c r="C177" s="345"/>
      <c r="D177" s="345"/>
      <c r="E177" s="345"/>
      <c r="F177" s="345"/>
      <c r="G177" s="345"/>
      <c r="H177" s="345"/>
      <c r="I177" s="345"/>
      <c r="J177" s="345"/>
      <c r="K177" s="345"/>
      <c r="L177" s="345"/>
      <c r="M177" s="345"/>
      <c r="N177" s="345"/>
      <c r="O177" s="345"/>
      <c r="P177" s="345"/>
      <c r="Q177" s="345"/>
      <c r="R177" s="345"/>
      <c r="S177" s="345"/>
      <c r="T177" s="345"/>
      <c r="U177" s="345"/>
      <c r="V177" s="345"/>
      <c r="W177" s="345"/>
      <c r="X177" s="345"/>
      <c r="Y177" s="345"/>
      <c r="Z177" s="345"/>
    </row>
    <row r="178" spans="1:26">
      <c r="A178" s="345"/>
      <c r="B178" s="345"/>
      <c r="C178" s="345"/>
      <c r="D178" s="345"/>
      <c r="E178" s="345"/>
      <c r="F178" s="345"/>
      <c r="G178" s="345"/>
      <c r="H178" s="345"/>
      <c r="I178" s="345"/>
      <c r="J178" s="345"/>
      <c r="K178" s="345"/>
      <c r="L178" s="345"/>
      <c r="M178" s="345"/>
      <c r="N178" s="345"/>
      <c r="O178" s="345"/>
      <c r="P178" s="345"/>
      <c r="Q178" s="345"/>
      <c r="R178" s="345"/>
      <c r="S178" s="345"/>
      <c r="T178" s="345"/>
      <c r="U178" s="345"/>
      <c r="V178" s="345"/>
      <c r="W178" s="345"/>
      <c r="X178" s="345"/>
      <c r="Y178" s="345"/>
      <c r="Z178" s="345"/>
    </row>
    <row r="179" spans="1:26">
      <c r="A179" s="345"/>
      <c r="B179" s="345"/>
      <c r="C179" s="345"/>
      <c r="D179" s="345"/>
      <c r="E179" s="345"/>
      <c r="F179" s="345"/>
      <c r="G179" s="345"/>
      <c r="H179" s="345"/>
      <c r="I179" s="345"/>
      <c r="J179" s="345"/>
      <c r="K179" s="345"/>
      <c r="L179" s="345"/>
      <c r="M179" s="345"/>
      <c r="N179" s="345"/>
      <c r="O179" s="345"/>
      <c r="P179" s="345"/>
      <c r="Q179" s="345"/>
      <c r="R179" s="345"/>
      <c r="S179" s="345"/>
      <c r="T179" s="345"/>
      <c r="U179" s="345"/>
      <c r="V179" s="345"/>
      <c r="W179" s="345"/>
      <c r="X179" s="345"/>
      <c r="Y179" s="345"/>
      <c r="Z179" s="345"/>
    </row>
    <row r="180" spans="1:26">
      <c r="A180" s="345"/>
      <c r="B180" s="345"/>
      <c r="C180" s="345"/>
      <c r="D180" s="345"/>
      <c r="E180" s="345"/>
      <c r="F180" s="345"/>
      <c r="G180" s="345"/>
      <c r="H180" s="345"/>
      <c r="I180" s="345"/>
      <c r="J180" s="345"/>
      <c r="K180" s="345"/>
      <c r="L180" s="345"/>
      <c r="M180" s="345"/>
      <c r="N180" s="345"/>
      <c r="O180" s="345"/>
      <c r="P180" s="345"/>
      <c r="Q180" s="345"/>
      <c r="R180" s="345"/>
      <c r="S180" s="345"/>
      <c r="T180" s="345"/>
      <c r="U180" s="345"/>
      <c r="V180" s="345"/>
      <c r="W180" s="345"/>
      <c r="X180" s="345"/>
      <c r="Y180" s="345"/>
      <c r="Z180" s="345"/>
    </row>
    <row r="181" spans="1:26">
      <c r="A181" s="345"/>
      <c r="B181" s="345"/>
      <c r="C181" s="345"/>
      <c r="D181" s="345"/>
      <c r="E181" s="345"/>
      <c r="F181" s="345"/>
      <c r="G181" s="345"/>
      <c r="H181" s="345"/>
      <c r="I181" s="345"/>
      <c r="J181" s="345"/>
      <c r="K181" s="345"/>
      <c r="L181" s="345"/>
      <c r="M181" s="345"/>
      <c r="N181" s="345"/>
      <c r="O181" s="345"/>
      <c r="P181" s="345"/>
      <c r="Q181" s="345"/>
      <c r="R181" s="345"/>
      <c r="S181" s="345"/>
      <c r="T181" s="345"/>
      <c r="U181" s="345"/>
      <c r="V181" s="345"/>
      <c r="W181" s="345"/>
      <c r="X181" s="345"/>
      <c r="Y181" s="345"/>
      <c r="Z181" s="345"/>
    </row>
    <row r="182" spans="1:26">
      <c r="A182" s="345"/>
      <c r="B182" s="345"/>
      <c r="C182" s="345"/>
      <c r="D182" s="345"/>
      <c r="E182" s="345"/>
      <c r="F182" s="345"/>
      <c r="G182" s="345"/>
      <c r="H182" s="345"/>
      <c r="I182" s="345"/>
      <c r="J182" s="345"/>
      <c r="K182" s="345"/>
      <c r="L182" s="345"/>
      <c r="M182" s="345"/>
      <c r="N182" s="345"/>
      <c r="O182" s="345"/>
      <c r="P182" s="345"/>
      <c r="Q182" s="345"/>
      <c r="R182" s="345"/>
      <c r="S182" s="345"/>
      <c r="T182" s="345"/>
      <c r="U182" s="345"/>
      <c r="V182" s="345"/>
      <c r="W182" s="345"/>
      <c r="X182" s="345"/>
      <c r="Y182" s="345"/>
      <c r="Z182" s="345"/>
    </row>
    <row r="183" spans="1:26">
      <c r="A183" s="345"/>
      <c r="B183" s="345"/>
      <c r="C183" s="345"/>
      <c r="D183" s="345"/>
      <c r="E183" s="345"/>
      <c r="F183" s="345"/>
      <c r="G183" s="345"/>
      <c r="H183" s="345"/>
      <c r="I183" s="345"/>
      <c r="J183" s="345"/>
      <c r="K183" s="345"/>
      <c r="L183" s="345"/>
      <c r="M183" s="345"/>
      <c r="N183" s="345"/>
      <c r="O183" s="345"/>
      <c r="P183" s="345"/>
      <c r="Q183" s="345"/>
      <c r="R183" s="345"/>
      <c r="S183" s="345"/>
      <c r="T183" s="345"/>
      <c r="U183" s="345"/>
      <c r="V183" s="345"/>
      <c r="W183" s="345"/>
      <c r="X183" s="345"/>
      <c r="Y183" s="345"/>
      <c r="Z183" s="345"/>
    </row>
    <row r="184" spans="1:26">
      <c r="A184" s="345"/>
      <c r="B184" s="345"/>
      <c r="C184" s="345"/>
      <c r="D184" s="345"/>
      <c r="E184" s="345"/>
      <c r="F184" s="345"/>
      <c r="G184" s="345"/>
      <c r="H184" s="345"/>
      <c r="I184" s="345"/>
      <c r="J184" s="345"/>
      <c r="K184" s="345"/>
      <c r="L184" s="345"/>
      <c r="M184" s="345"/>
      <c r="N184" s="345"/>
      <c r="O184" s="345"/>
      <c r="P184" s="345"/>
      <c r="Q184" s="345"/>
      <c r="R184" s="345"/>
      <c r="S184" s="345"/>
      <c r="T184" s="345"/>
      <c r="U184" s="345"/>
      <c r="V184" s="345"/>
      <c r="W184" s="345"/>
      <c r="X184" s="345"/>
      <c r="Y184" s="345"/>
      <c r="Z184" s="345"/>
    </row>
  </sheetData>
  <sheetProtection algorithmName="SHA-512" hashValue="PG909ol2HeyBElsbyZ4eDNZ0slFq/BCyzJANZEdjQjg5Fohyu+xMMXDUOE138gkO5k4Ai9JsNTZlP+VsY7y83A==" saltValue="YB/qe2ieyqFhlpJG4TNuNA==" spinCount="100000" sheet="1" objects="1" scenarios="1"/>
  <mergeCells count="12">
    <mergeCell ref="C56:F62"/>
    <mergeCell ref="C31:F35"/>
    <mergeCell ref="C36:F38"/>
    <mergeCell ref="C42:F46"/>
    <mergeCell ref="C26:F27"/>
    <mergeCell ref="C47:F49"/>
    <mergeCell ref="C23:F25"/>
    <mergeCell ref="B5:F9"/>
    <mergeCell ref="B10:F14"/>
    <mergeCell ref="B16:F16"/>
    <mergeCell ref="C19:F20"/>
    <mergeCell ref="C21:F22"/>
  </mergeCells>
  <hyperlinks>
    <hyperlink ref="G1" location="Guide" display="Guide" xr:uid="{00000000-0004-0000-0300-000000000000}"/>
    <hyperlink ref="G2" location="Input" display="Input" xr:uid="{00000000-0004-0000-0300-000001000000}"/>
  </hyperlinks>
  <pageMargins left="0.7" right="0.7" top="0.75" bottom="0.75" header="0.3" footer="0.3"/>
  <pageSetup paperSize="9" scale="44" orientation="portrait" horizontalDpi="300" r:id="rId1"/>
  <headerFooter>
    <oddFooter>&amp;LNova Scotia Exploration Economics Model&amp;Rwww.indeva.com</oddFooter>
  </headerFooter>
  <colBreaks count="1" manualBreakCount="1">
    <brk id="14"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4">
    <tabColor rgb="FFFFFF00"/>
    <pageSetUpPr fitToPage="1"/>
  </sheetPr>
  <dimension ref="A1:W76"/>
  <sheetViews>
    <sheetView showGridLines="0" showRowColHeaders="0" zoomScale="90" zoomScaleNormal="90" workbookViewId="0"/>
  </sheetViews>
  <sheetFormatPr defaultRowHeight="15"/>
  <cols>
    <col min="2" max="2" width="13.85546875" customWidth="1"/>
    <col min="3" max="3" width="18.28515625" customWidth="1"/>
    <col min="4" max="4" width="13.7109375" customWidth="1"/>
    <col min="5" max="5" width="25.7109375" customWidth="1"/>
    <col min="6" max="6" width="23.85546875" customWidth="1"/>
    <col min="7" max="7" width="15" customWidth="1"/>
    <col min="8" max="8" width="13.28515625" customWidth="1"/>
    <col min="9" max="9" width="12.140625" customWidth="1"/>
    <col min="10" max="10" width="10.7109375" customWidth="1"/>
    <col min="11" max="11" width="13" customWidth="1"/>
  </cols>
  <sheetData>
    <row r="1" spans="1:23">
      <c r="A1" s="64"/>
      <c r="B1" s="64"/>
      <c r="C1" s="64"/>
      <c r="D1" s="64"/>
      <c r="E1" s="64"/>
      <c r="F1" s="64"/>
      <c r="G1" s="64"/>
      <c r="H1" s="64"/>
      <c r="I1" s="64"/>
      <c r="J1" s="64"/>
      <c r="K1" s="64"/>
      <c r="L1" s="64"/>
      <c r="M1" s="64"/>
      <c r="N1" s="64"/>
      <c r="O1" s="64"/>
      <c r="P1" s="64"/>
      <c r="Q1" s="64"/>
      <c r="R1" s="64"/>
      <c r="S1" s="64"/>
      <c r="T1" s="64"/>
      <c r="U1" s="64"/>
      <c r="V1" s="64"/>
      <c r="W1" s="64"/>
    </row>
    <row r="2" spans="1:23" ht="14.25" customHeight="1">
      <c r="A2" s="64"/>
      <c r="B2" s="576" t="s">
        <v>1086</v>
      </c>
      <c r="C2" s="577"/>
      <c r="D2" s="577"/>
      <c r="E2" s="577"/>
      <c r="F2" s="577"/>
      <c r="G2" s="577"/>
      <c r="H2" s="577"/>
      <c r="I2" s="577"/>
      <c r="J2" s="577"/>
      <c r="K2" s="578"/>
      <c r="L2" s="471"/>
      <c r="M2" s="471"/>
      <c r="N2" s="471"/>
      <c r="O2" s="471"/>
      <c r="P2" s="471"/>
      <c r="Q2" s="471"/>
      <c r="R2" s="471"/>
      <c r="S2" s="64"/>
      <c r="T2" s="64"/>
      <c r="U2" s="64"/>
      <c r="V2" s="64"/>
      <c r="W2" s="64"/>
    </row>
    <row r="3" spans="1:23" ht="12.4" customHeight="1">
      <c r="A3" s="64"/>
      <c r="B3" s="579"/>
      <c r="C3" s="580"/>
      <c r="D3" s="580"/>
      <c r="E3" s="580"/>
      <c r="F3" s="580"/>
      <c r="G3" s="580"/>
      <c r="H3" s="580"/>
      <c r="I3" s="580"/>
      <c r="J3" s="580"/>
      <c r="K3" s="581"/>
      <c r="L3" s="471"/>
      <c r="M3" s="471"/>
      <c r="N3" s="471"/>
      <c r="O3" s="471"/>
      <c r="P3" s="471"/>
      <c r="Q3" s="471"/>
      <c r="R3" s="471"/>
      <c r="S3" s="64"/>
      <c r="T3" s="64"/>
      <c r="U3" s="64"/>
      <c r="V3" s="64"/>
      <c r="W3" s="64"/>
    </row>
    <row r="4" spans="1:23">
      <c r="A4" s="64"/>
      <c r="B4" s="64"/>
      <c r="C4" s="64"/>
      <c r="D4" s="64"/>
      <c r="E4" s="64"/>
      <c r="F4" s="64"/>
      <c r="G4" s="64"/>
      <c r="H4" s="64"/>
      <c r="I4" s="64"/>
      <c r="J4" s="64"/>
      <c r="K4" s="64"/>
      <c r="L4" s="64"/>
      <c r="M4" s="64"/>
      <c r="N4" s="64"/>
      <c r="O4" s="64"/>
      <c r="P4" s="64"/>
      <c r="Q4" s="64"/>
      <c r="R4" s="64"/>
      <c r="S4" s="64"/>
      <c r="T4" s="64"/>
      <c r="U4" s="64"/>
      <c r="V4" s="64"/>
      <c r="W4" s="64"/>
    </row>
    <row r="5" spans="1:23" ht="30">
      <c r="A5" s="64"/>
      <c r="B5" s="467" t="s">
        <v>898</v>
      </c>
      <c r="C5" s="467" t="s">
        <v>899</v>
      </c>
      <c r="D5" s="467" t="s">
        <v>361</v>
      </c>
      <c r="E5" s="468" t="s">
        <v>900</v>
      </c>
      <c r="F5" s="468" t="s">
        <v>901</v>
      </c>
      <c r="G5" s="468" t="s">
        <v>902</v>
      </c>
      <c r="H5" s="468" t="s">
        <v>903</v>
      </c>
      <c r="I5" s="468" t="s">
        <v>904</v>
      </c>
      <c r="J5" s="468" t="s">
        <v>905</v>
      </c>
      <c r="K5" s="468" t="s">
        <v>906</v>
      </c>
      <c r="L5" s="64"/>
      <c r="M5" s="64"/>
      <c r="N5" s="64"/>
      <c r="O5" s="64"/>
      <c r="P5" s="64"/>
      <c r="Q5" s="64"/>
      <c r="R5" s="64"/>
      <c r="S5" s="64"/>
      <c r="T5" s="64"/>
      <c r="U5" s="64"/>
      <c r="V5" s="64"/>
      <c r="W5" s="64"/>
    </row>
    <row r="6" spans="1:23">
      <c r="A6" s="64"/>
      <c r="B6" s="108" t="s">
        <v>896</v>
      </c>
      <c r="C6" s="108" t="s">
        <v>917</v>
      </c>
      <c r="D6" s="108" t="s">
        <v>918</v>
      </c>
      <c r="E6" s="108" t="s">
        <v>919</v>
      </c>
      <c r="F6" s="108" t="s">
        <v>908</v>
      </c>
      <c r="G6" s="108" t="s">
        <v>920</v>
      </c>
      <c r="H6" s="108" t="s">
        <v>921</v>
      </c>
      <c r="I6" s="469">
        <v>38122</v>
      </c>
      <c r="J6" s="470">
        <v>57</v>
      </c>
      <c r="K6" s="108">
        <v>3945</v>
      </c>
      <c r="L6" s="64"/>
      <c r="M6" s="64"/>
      <c r="N6" s="64"/>
      <c r="O6" s="64"/>
      <c r="P6" s="64"/>
      <c r="Q6" s="64"/>
      <c r="R6" s="64"/>
      <c r="S6" s="64"/>
      <c r="T6" s="64"/>
      <c r="U6" s="64"/>
      <c r="V6" s="64"/>
      <c r="W6" s="64"/>
    </row>
    <row r="7" spans="1:23">
      <c r="A7" s="64"/>
      <c r="B7" s="108" t="s">
        <v>897</v>
      </c>
      <c r="C7" s="108" t="s">
        <v>923</v>
      </c>
      <c r="D7" s="108" t="s">
        <v>924</v>
      </c>
      <c r="E7" s="108" t="s">
        <v>922</v>
      </c>
      <c r="F7" s="108" t="s">
        <v>925</v>
      </c>
      <c r="G7" s="108" t="s">
        <v>926</v>
      </c>
      <c r="H7" s="108" t="s">
        <v>927</v>
      </c>
      <c r="I7" s="469">
        <v>38156</v>
      </c>
      <c r="J7" s="470">
        <v>2092</v>
      </c>
      <c r="K7" s="108">
        <v>6676</v>
      </c>
      <c r="L7" s="64"/>
      <c r="M7" s="64"/>
      <c r="N7" s="64"/>
      <c r="O7" s="64"/>
      <c r="P7" s="64"/>
      <c r="Q7" s="64"/>
      <c r="R7" s="64"/>
      <c r="S7" s="64"/>
      <c r="T7" s="64"/>
      <c r="U7" s="64"/>
      <c r="V7" s="64"/>
      <c r="W7" s="64"/>
    </row>
    <row r="8" spans="1:23">
      <c r="A8" s="64"/>
      <c r="B8" s="108" t="s">
        <v>896</v>
      </c>
      <c r="C8" s="108" t="s">
        <v>910</v>
      </c>
      <c r="D8" s="108" t="s">
        <v>911</v>
      </c>
      <c r="E8" s="108" t="s">
        <v>912</v>
      </c>
      <c r="F8" s="108" t="s">
        <v>913</v>
      </c>
      <c r="G8" s="108" t="s">
        <v>914</v>
      </c>
      <c r="H8" s="108" t="s">
        <v>915</v>
      </c>
      <c r="I8" s="469">
        <v>38674</v>
      </c>
      <c r="J8" s="470">
        <v>30</v>
      </c>
      <c r="K8" s="108">
        <v>3700</v>
      </c>
      <c r="L8" s="64"/>
      <c r="M8" s="64"/>
      <c r="N8" s="64"/>
      <c r="O8" s="64"/>
      <c r="P8" s="64"/>
      <c r="Q8" s="64"/>
      <c r="R8" s="64"/>
      <c r="S8" s="64"/>
      <c r="T8" s="64"/>
      <c r="U8" s="64"/>
      <c r="V8" s="64"/>
      <c r="W8" s="64"/>
    </row>
    <row r="9" spans="1:23" ht="17.25">
      <c r="A9" s="64"/>
      <c r="B9" s="108" t="s">
        <v>896</v>
      </c>
      <c r="C9" s="108" t="s">
        <v>1049</v>
      </c>
      <c r="D9" s="108" t="s">
        <v>1050</v>
      </c>
      <c r="E9" s="108" t="s">
        <v>1051</v>
      </c>
      <c r="F9" s="108" t="s">
        <v>916</v>
      </c>
      <c r="G9" s="544" t="s">
        <v>1052</v>
      </c>
      <c r="H9" s="544" t="s">
        <v>1053</v>
      </c>
      <c r="I9" s="545">
        <v>38756</v>
      </c>
      <c r="J9" s="470">
        <v>66.599999999999994</v>
      </c>
      <c r="K9" s="108">
        <v>3380</v>
      </c>
      <c r="L9" s="64"/>
      <c r="M9" s="64"/>
      <c r="N9" s="64"/>
      <c r="O9" s="64"/>
      <c r="P9" s="64"/>
      <c r="Q9" s="64"/>
      <c r="R9" s="64"/>
      <c r="S9" s="64"/>
      <c r="T9" s="64"/>
      <c r="U9" s="64"/>
      <c r="V9" s="64"/>
      <c r="W9" s="64"/>
    </row>
    <row r="10" spans="1:23" ht="17.25">
      <c r="A10" s="64"/>
      <c r="B10" s="108" t="s">
        <v>896</v>
      </c>
      <c r="C10" s="108" t="s">
        <v>1054</v>
      </c>
      <c r="D10" s="108" t="s">
        <v>1055</v>
      </c>
      <c r="E10" s="108" t="s">
        <v>1056</v>
      </c>
      <c r="F10" s="108" t="s">
        <v>913</v>
      </c>
      <c r="G10" s="544" t="s">
        <v>1057</v>
      </c>
      <c r="H10" s="544" t="s">
        <v>1058</v>
      </c>
      <c r="I10" s="545">
        <v>38716</v>
      </c>
      <c r="J10" s="470">
        <v>30</v>
      </c>
      <c r="K10" s="108">
        <v>4440</v>
      </c>
      <c r="L10" s="64"/>
      <c r="M10" s="64"/>
      <c r="N10" s="64"/>
      <c r="O10" s="64"/>
      <c r="P10" s="64"/>
      <c r="Q10" s="64"/>
      <c r="R10" s="64"/>
      <c r="S10" s="64"/>
      <c r="T10" s="64"/>
      <c r="U10" s="64"/>
      <c r="V10" s="64"/>
      <c r="W10" s="64"/>
    </row>
    <row r="11" spans="1:23" ht="17.25">
      <c r="A11" s="64"/>
      <c r="B11" s="108" t="s">
        <v>896</v>
      </c>
      <c r="C11" s="108" t="s">
        <v>1059</v>
      </c>
      <c r="D11" s="108" t="s">
        <v>1050</v>
      </c>
      <c r="E11" s="108" t="s">
        <v>1051</v>
      </c>
      <c r="F11" s="108" t="s">
        <v>907</v>
      </c>
      <c r="G11" s="544" t="s">
        <v>1060</v>
      </c>
      <c r="H11" s="544" t="s">
        <v>1061</v>
      </c>
      <c r="I11" s="546">
        <v>39972</v>
      </c>
      <c r="J11" s="470">
        <v>66.599999999999994</v>
      </c>
      <c r="K11" s="108">
        <v>3985</v>
      </c>
      <c r="L11" s="64"/>
      <c r="M11" s="64"/>
      <c r="N11" s="64"/>
      <c r="O11" s="64"/>
      <c r="P11" s="64"/>
      <c r="Q11" s="64"/>
      <c r="R11" s="64"/>
      <c r="S11" s="64"/>
      <c r="T11" s="64"/>
      <c r="U11" s="64"/>
      <c r="V11" s="64"/>
      <c r="W11" s="64"/>
    </row>
    <row r="12" spans="1:23" ht="17.25">
      <c r="A12" s="64"/>
      <c r="B12" s="108" t="s">
        <v>896</v>
      </c>
      <c r="C12" s="108" t="s">
        <v>909</v>
      </c>
      <c r="D12" s="108" t="s">
        <v>1062</v>
      </c>
      <c r="E12" s="108" t="s">
        <v>1063</v>
      </c>
      <c r="F12" s="108" t="s">
        <v>907</v>
      </c>
      <c r="G12" s="544" t="s">
        <v>1064</v>
      </c>
      <c r="H12" s="544" t="s">
        <v>1065</v>
      </c>
      <c r="I12" s="546">
        <v>40190</v>
      </c>
      <c r="J12" s="470">
        <v>41.6</v>
      </c>
      <c r="K12" s="108">
        <v>4329</v>
      </c>
      <c r="L12" s="64"/>
      <c r="M12" s="64"/>
      <c r="N12" s="64"/>
      <c r="O12" s="64"/>
      <c r="P12" s="64"/>
      <c r="Q12" s="64"/>
      <c r="R12" s="64"/>
      <c r="S12" s="64"/>
      <c r="T12" s="64"/>
      <c r="U12" s="64"/>
      <c r="V12" s="64"/>
      <c r="W12" s="64"/>
    </row>
    <row r="13" spans="1:23" ht="17.25">
      <c r="A13" s="64"/>
      <c r="B13" s="108" t="s">
        <v>896</v>
      </c>
      <c r="C13" s="108" t="s">
        <v>1066</v>
      </c>
      <c r="D13" s="108" t="s">
        <v>1050</v>
      </c>
      <c r="E13" s="108" t="s">
        <v>1051</v>
      </c>
      <c r="F13" s="108" t="s">
        <v>907</v>
      </c>
      <c r="G13" s="544" t="s">
        <v>1060</v>
      </c>
      <c r="H13" s="544" t="s">
        <v>1061</v>
      </c>
      <c r="I13" s="546">
        <v>40033</v>
      </c>
      <c r="J13" s="470">
        <v>66.599999999999994</v>
      </c>
      <c r="K13" s="108">
        <v>4329</v>
      </c>
      <c r="L13" s="64"/>
      <c r="M13" s="64"/>
      <c r="N13" s="64"/>
      <c r="O13" s="64"/>
      <c r="P13" s="64"/>
      <c r="Q13" s="64"/>
      <c r="R13" s="64"/>
      <c r="S13" s="64"/>
      <c r="T13" s="64"/>
      <c r="U13" s="64"/>
      <c r="V13" s="64"/>
      <c r="W13" s="64"/>
    </row>
    <row r="14" spans="1:23" ht="17.25">
      <c r="A14" s="64"/>
      <c r="B14" s="108" t="s">
        <v>897</v>
      </c>
      <c r="C14" s="108" t="s">
        <v>1067</v>
      </c>
      <c r="D14" s="108" t="s">
        <v>1068</v>
      </c>
      <c r="E14" s="108" t="s">
        <v>1069</v>
      </c>
      <c r="F14" s="108" t="s">
        <v>1070</v>
      </c>
      <c r="G14" s="547" t="s">
        <v>1071</v>
      </c>
      <c r="H14" s="547" t="s">
        <v>1072</v>
      </c>
      <c r="I14" s="548">
        <v>42300</v>
      </c>
      <c r="J14" s="470">
        <v>2141.5</v>
      </c>
      <c r="K14" s="108">
        <v>6832</v>
      </c>
      <c r="L14" s="64"/>
      <c r="M14" s="64"/>
      <c r="N14" s="64"/>
      <c r="O14" s="64"/>
      <c r="P14" s="64"/>
      <c r="Q14" s="64"/>
      <c r="R14" s="64"/>
      <c r="S14" s="64"/>
      <c r="T14" s="64"/>
      <c r="U14" s="64"/>
      <c r="V14" s="64"/>
      <c r="W14" s="64"/>
    </row>
    <row r="15" spans="1:23" ht="17.25">
      <c r="A15" s="64"/>
      <c r="B15" s="108" t="s">
        <v>897</v>
      </c>
      <c r="C15" s="108" t="s">
        <v>1067</v>
      </c>
      <c r="D15" s="108" t="s">
        <v>1073</v>
      </c>
      <c r="E15" s="108" t="s">
        <v>1069</v>
      </c>
      <c r="F15" s="108" t="s">
        <v>1070</v>
      </c>
      <c r="G15" s="547" t="s">
        <v>1071</v>
      </c>
      <c r="H15" s="547" t="s">
        <v>1072</v>
      </c>
      <c r="I15" s="548">
        <v>42578</v>
      </c>
      <c r="J15" s="470">
        <v>2141.5</v>
      </c>
      <c r="K15" s="108">
        <v>7068</v>
      </c>
      <c r="L15" s="64"/>
      <c r="M15" s="64"/>
      <c r="N15" s="64"/>
      <c r="O15" s="64"/>
      <c r="P15" s="64"/>
      <c r="Q15" s="64"/>
      <c r="R15" s="64"/>
      <c r="S15" s="64"/>
      <c r="T15" s="64"/>
      <c r="U15" s="64"/>
      <c r="V15" s="64"/>
      <c r="W15" s="64"/>
    </row>
    <row r="16" spans="1:23" ht="17.25">
      <c r="A16" s="64"/>
      <c r="B16" s="108" t="s">
        <v>897</v>
      </c>
      <c r="C16" s="108" t="s">
        <v>1074</v>
      </c>
      <c r="D16" s="108" t="s">
        <v>1075</v>
      </c>
      <c r="E16" s="108" t="s">
        <v>1069</v>
      </c>
      <c r="F16" s="108" t="s">
        <v>1070</v>
      </c>
      <c r="G16" s="547" t="s">
        <v>1076</v>
      </c>
      <c r="H16" s="547" t="s">
        <v>1077</v>
      </c>
      <c r="I16" s="548">
        <v>42638</v>
      </c>
      <c r="J16" s="470">
        <v>2149.5</v>
      </c>
      <c r="K16" s="108">
        <v>5266</v>
      </c>
      <c r="L16" s="1"/>
      <c r="M16" s="1"/>
      <c r="N16" s="1"/>
      <c r="O16" s="1"/>
      <c r="P16" s="1"/>
      <c r="Q16" s="1"/>
      <c r="R16" s="1"/>
      <c r="S16" s="1"/>
      <c r="T16" s="1"/>
      <c r="U16" s="1"/>
      <c r="V16" s="1"/>
    </row>
    <row r="17" spans="1:22" ht="17.25">
      <c r="A17" s="64"/>
      <c r="B17" s="108" t="s">
        <v>897</v>
      </c>
      <c r="C17" s="108" t="s">
        <v>1074</v>
      </c>
      <c r="D17" s="108" t="s">
        <v>1078</v>
      </c>
      <c r="E17" s="108" t="s">
        <v>1069</v>
      </c>
      <c r="F17" s="108" t="s">
        <v>1070</v>
      </c>
      <c r="G17" s="547" t="s">
        <v>1076</v>
      </c>
      <c r="H17" s="547" t="s">
        <v>1077</v>
      </c>
      <c r="I17" s="548">
        <v>42702</v>
      </c>
      <c r="J17" s="470">
        <v>2149.5</v>
      </c>
      <c r="K17" s="108">
        <v>6692</v>
      </c>
      <c r="L17" s="1"/>
      <c r="M17" s="1"/>
      <c r="N17" s="1"/>
      <c r="O17" s="1"/>
      <c r="P17" s="1"/>
      <c r="Q17" s="1"/>
      <c r="R17" s="1"/>
      <c r="S17" s="1"/>
      <c r="T17" s="1"/>
      <c r="U17" s="1"/>
      <c r="V17" s="1"/>
    </row>
    <row r="18" spans="1:22" ht="17.25">
      <c r="A18" s="64"/>
      <c r="B18" s="108" t="s">
        <v>897</v>
      </c>
      <c r="C18" s="108" t="s">
        <v>1079</v>
      </c>
      <c r="D18" s="108" t="s">
        <v>1080</v>
      </c>
      <c r="E18" s="108" t="s">
        <v>1081</v>
      </c>
      <c r="F18" s="108" t="s">
        <v>1082</v>
      </c>
      <c r="G18" s="547" t="s">
        <v>1083</v>
      </c>
      <c r="H18" s="90" t="s">
        <v>1084</v>
      </c>
      <c r="I18" s="548">
        <v>43212</v>
      </c>
      <c r="J18" s="470">
        <v>2771</v>
      </c>
      <c r="K18" s="108">
        <v>6458</v>
      </c>
      <c r="L18" s="1"/>
      <c r="M18" s="1"/>
      <c r="N18" s="1"/>
      <c r="O18" s="1"/>
      <c r="P18" s="1"/>
      <c r="Q18" s="1"/>
      <c r="R18" s="1"/>
      <c r="S18" s="1"/>
      <c r="T18" s="1"/>
      <c r="U18" s="1"/>
      <c r="V18" s="1"/>
    </row>
    <row r="19" spans="1:22" ht="17.25">
      <c r="A19" s="64"/>
      <c r="B19" s="110" t="s">
        <v>897</v>
      </c>
      <c r="C19" s="110" t="s">
        <v>1079</v>
      </c>
      <c r="D19" s="110" t="s">
        <v>1085</v>
      </c>
      <c r="E19" s="110" t="s">
        <v>1081</v>
      </c>
      <c r="F19" s="110" t="s">
        <v>1082</v>
      </c>
      <c r="G19" s="549" t="s">
        <v>1083</v>
      </c>
      <c r="H19" s="97" t="s">
        <v>1084</v>
      </c>
      <c r="I19" s="550">
        <v>43331</v>
      </c>
      <c r="J19" s="156">
        <v>2771</v>
      </c>
      <c r="K19" s="110">
        <v>7400</v>
      </c>
      <c r="L19" s="1"/>
      <c r="M19" s="1"/>
      <c r="N19" s="1"/>
      <c r="O19" s="1"/>
      <c r="P19" s="1"/>
      <c r="Q19" s="1"/>
      <c r="R19" s="1"/>
      <c r="S19" s="1"/>
      <c r="T19" s="1"/>
      <c r="U19" s="1"/>
      <c r="V19" s="1"/>
    </row>
    <row r="20" spans="1:22">
      <c r="A20" s="64"/>
      <c r="B20" s="64"/>
      <c r="C20" s="64"/>
      <c r="D20" s="64"/>
      <c r="E20" s="64"/>
      <c r="F20" s="64"/>
      <c r="G20" s="64"/>
      <c r="H20" s="64"/>
      <c r="I20" s="64"/>
      <c r="J20" s="64"/>
      <c r="K20" s="64"/>
      <c r="L20" s="1"/>
      <c r="M20" s="1"/>
      <c r="N20" s="1"/>
      <c r="O20" s="1"/>
      <c r="P20" s="1"/>
      <c r="Q20" s="1"/>
      <c r="R20" s="1"/>
      <c r="S20" s="1"/>
      <c r="T20" s="1"/>
      <c r="U20" s="1"/>
      <c r="V20" s="1"/>
    </row>
    <row r="21" spans="1:22">
      <c r="A21" s="1"/>
      <c r="B21" s="1"/>
      <c r="C21" s="1"/>
      <c r="D21" s="1"/>
      <c r="E21" s="1"/>
      <c r="F21" s="1"/>
      <c r="G21" s="1"/>
      <c r="H21" s="1"/>
      <c r="I21" s="1"/>
      <c r="J21" s="1"/>
      <c r="K21" s="1"/>
      <c r="L21" s="1"/>
      <c r="M21" s="1"/>
      <c r="N21" s="1"/>
      <c r="O21" s="1"/>
      <c r="P21" s="1"/>
      <c r="Q21" s="1"/>
      <c r="R21" s="1"/>
      <c r="S21" s="1"/>
      <c r="T21" s="1"/>
      <c r="U21" s="1"/>
      <c r="V21" s="1"/>
    </row>
    <row r="22" spans="1:22">
      <c r="A22" s="1"/>
      <c r="B22" s="1"/>
      <c r="C22" s="1"/>
      <c r="D22" s="1"/>
      <c r="E22" s="1"/>
      <c r="F22" s="1"/>
      <c r="G22" s="1"/>
      <c r="H22" s="1"/>
      <c r="I22" s="1"/>
      <c r="J22" s="1"/>
      <c r="K22" s="1"/>
      <c r="L22" s="1"/>
      <c r="M22" s="1"/>
      <c r="N22" s="1"/>
      <c r="O22" s="1"/>
      <c r="P22" s="1"/>
      <c r="Q22" s="1"/>
      <c r="R22" s="1"/>
      <c r="S22" s="1"/>
      <c r="T22" s="1"/>
      <c r="U22" s="1"/>
      <c r="V22" s="1"/>
    </row>
    <row r="23" spans="1:22">
      <c r="A23" s="1"/>
      <c r="B23" s="1"/>
      <c r="C23" s="1"/>
      <c r="D23" s="1"/>
      <c r="E23" s="1"/>
      <c r="F23" s="1"/>
      <c r="G23" s="1"/>
      <c r="H23" s="1"/>
      <c r="I23" s="1"/>
      <c r="J23" s="1"/>
      <c r="K23" s="1"/>
      <c r="L23" s="1"/>
      <c r="M23" s="1"/>
      <c r="N23" s="1"/>
      <c r="O23" s="1"/>
      <c r="P23" s="1"/>
      <c r="Q23" s="1"/>
      <c r="R23" s="1"/>
      <c r="S23" s="1"/>
      <c r="T23" s="1"/>
      <c r="U23" s="1"/>
      <c r="V23" s="1"/>
    </row>
    <row r="24" spans="1:22">
      <c r="A24" s="1"/>
      <c r="B24" s="1"/>
      <c r="C24" s="1"/>
      <c r="D24" s="1"/>
      <c r="E24" s="1"/>
      <c r="F24" s="1"/>
      <c r="G24" s="1"/>
      <c r="H24" s="1"/>
      <c r="I24" s="1"/>
      <c r="J24" s="1"/>
      <c r="K24" s="1"/>
      <c r="L24" s="1"/>
      <c r="M24" s="1"/>
      <c r="N24" s="1"/>
      <c r="O24" s="1"/>
      <c r="P24" s="1"/>
      <c r="Q24" s="1"/>
      <c r="R24" s="1"/>
      <c r="S24" s="1"/>
      <c r="T24" s="1"/>
      <c r="U24" s="1"/>
      <c r="V24" s="1"/>
    </row>
    <row r="25" spans="1:22">
      <c r="A25" s="1"/>
      <c r="B25" s="1"/>
      <c r="C25" s="1"/>
      <c r="D25" s="1"/>
      <c r="E25" s="1"/>
      <c r="F25" s="1"/>
      <c r="G25" s="1"/>
      <c r="H25" s="1"/>
      <c r="I25" s="1"/>
      <c r="J25" s="1"/>
      <c r="K25" s="1"/>
      <c r="L25" s="1"/>
      <c r="M25" s="1"/>
      <c r="N25" s="1"/>
      <c r="O25" s="1"/>
      <c r="P25" s="1"/>
      <c r="Q25" s="1"/>
      <c r="R25" s="1"/>
      <c r="S25" s="1"/>
      <c r="T25" s="1"/>
      <c r="U25" s="1"/>
      <c r="V25" s="1"/>
    </row>
    <row r="26" spans="1:22">
      <c r="A26" s="1"/>
      <c r="B26" s="1"/>
      <c r="C26" s="1"/>
      <c r="D26" s="1"/>
      <c r="E26" s="1"/>
      <c r="F26" s="1"/>
      <c r="G26" s="1"/>
      <c r="H26" s="1"/>
      <c r="I26" s="1"/>
      <c r="J26" s="1"/>
      <c r="K26" s="1"/>
      <c r="L26" s="1"/>
      <c r="M26" s="1"/>
      <c r="N26" s="1"/>
      <c r="O26" s="1"/>
      <c r="P26" s="1"/>
      <c r="Q26" s="1"/>
      <c r="R26" s="1"/>
      <c r="S26" s="1"/>
      <c r="T26" s="1"/>
      <c r="U26" s="1"/>
      <c r="V26" s="1"/>
    </row>
    <row r="27" spans="1:22">
      <c r="A27" s="1"/>
      <c r="B27" s="1"/>
      <c r="C27" s="1"/>
      <c r="D27" s="1"/>
      <c r="E27" s="1"/>
      <c r="F27" s="1"/>
      <c r="G27" s="1"/>
      <c r="H27" s="1"/>
      <c r="I27" s="1"/>
      <c r="J27" s="1"/>
      <c r="K27" s="1"/>
      <c r="L27" s="1"/>
      <c r="M27" s="1"/>
      <c r="N27" s="1"/>
      <c r="O27" s="1"/>
      <c r="P27" s="1"/>
      <c r="Q27" s="1"/>
      <c r="R27" s="1"/>
      <c r="S27" s="1"/>
      <c r="T27" s="1"/>
      <c r="U27" s="1"/>
      <c r="V27" s="1"/>
    </row>
    <row r="28" spans="1:22">
      <c r="A28" s="1"/>
      <c r="B28" s="1"/>
      <c r="C28" s="1"/>
      <c r="D28" s="1"/>
      <c r="E28" s="1"/>
      <c r="F28" s="1"/>
      <c r="G28" s="1"/>
      <c r="H28" s="1"/>
      <c r="I28" s="1"/>
      <c r="J28" s="1"/>
      <c r="K28" s="1"/>
      <c r="L28" s="1"/>
      <c r="M28" s="1"/>
      <c r="N28" s="1"/>
      <c r="O28" s="1"/>
      <c r="P28" s="1"/>
      <c r="Q28" s="1"/>
      <c r="R28" s="1"/>
      <c r="S28" s="1"/>
      <c r="T28" s="1"/>
      <c r="U28" s="1"/>
      <c r="V28" s="1"/>
    </row>
    <row r="29" spans="1:22">
      <c r="A29" s="1"/>
      <c r="B29" s="1"/>
      <c r="C29" s="1"/>
      <c r="D29" s="1"/>
      <c r="E29" s="1"/>
      <c r="F29" s="1"/>
      <c r="G29" s="1"/>
      <c r="H29" s="1"/>
      <c r="I29" s="1"/>
      <c r="J29" s="1"/>
      <c r="K29" s="1"/>
      <c r="L29" s="1"/>
      <c r="M29" s="1"/>
      <c r="N29" s="1"/>
      <c r="O29" s="1"/>
      <c r="P29" s="1"/>
      <c r="Q29" s="1"/>
      <c r="R29" s="1"/>
      <c r="S29" s="1"/>
      <c r="T29" s="1"/>
      <c r="U29" s="1"/>
      <c r="V29" s="1"/>
    </row>
    <row r="30" spans="1:22">
      <c r="A30" s="1"/>
      <c r="B30" s="1"/>
      <c r="C30" s="1"/>
      <c r="D30" s="1"/>
      <c r="E30" s="1"/>
      <c r="F30" s="1"/>
      <c r="G30" s="1"/>
      <c r="H30" s="1"/>
      <c r="I30" s="1"/>
      <c r="J30" s="1"/>
      <c r="K30" s="1"/>
      <c r="L30" s="1"/>
      <c r="M30" s="1"/>
      <c r="N30" s="1"/>
      <c r="O30" s="1"/>
      <c r="P30" s="1"/>
      <c r="Q30" s="1"/>
      <c r="R30" s="1"/>
      <c r="S30" s="1"/>
      <c r="T30" s="1"/>
      <c r="U30" s="1"/>
      <c r="V30" s="1"/>
    </row>
    <row r="31" spans="1:22">
      <c r="A31" s="1"/>
      <c r="B31" s="1"/>
      <c r="C31" s="1"/>
      <c r="D31" s="1"/>
      <c r="E31" s="1"/>
      <c r="F31" s="1"/>
      <c r="G31" s="1"/>
      <c r="H31" s="1"/>
      <c r="I31" s="1"/>
      <c r="J31" s="1"/>
      <c r="K31" s="1"/>
      <c r="L31" s="1"/>
      <c r="M31" s="1"/>
      <c r="N31" s="1"/>
      <c r="O31" s="1"/>
      <c r="P31" s="1"/>
      <c r="Q31" s="1"/>
      <c r="R31" s="1"/>
      <c r="S31" s="1"/>
      <c r="T31" s="1"/>
      <c r="U31" s="1"/>
      <c r="V31" s="1"/>
    </row>
    <row r="32" spans="1:22">
      <c r="A32" s="1"/>
      <c r="B32" s="1"/>
      <c r="C32" s="1"/>
      <c r="D32" s="1"/>
      <c r="E32" s="1"/>
      <c r="F32" s="1"/>
      <c r="G32" s="1"/>
      <c r="H32" s="1"/>
      <c r="I32" s="1"/>
      <c r="J32" s="1"/>
      <c r="K32" s="1"/>
      <c r="L32" s="1"/>
      <c r="M32" s="1"/>
      <c r="N32" s="1"/>
      <c r="O32" s="1"/>
      <c r="P32" s="1"/>
      <c r="Q32" s="1"/>
      <c r="R32" s="1"/>
      <c r="S32" s="1"/>
      <c r="T32" s="1"/>
      <c r="U32" s="1"/>
      <c r="V32" s="1"/>
    </row>
    <row r="33" spans="1:22">
      <c r="A33" s="1"/>
      <c r="B33" s="1"/>
      <c r="C33" s="1"/>
      <c r="D33" s="1"/>
      <c r="E33" s="1"/>
      <c r="F33" s="1"/>
      <c r="G33" s="1"/>
      <c r="H33" s="1"/>
      <c r="I33" s="1"/>
      <c r="J33" s="1"/>
      <c r="K33" s="1"/>
      <c r="L33" s="1"/>
      <c r="M33" s="1"/>
      <c r="N33" s="1"/>
      <c r="O33" s="1"/>
      <c r="P33" s="1"/>
      <c r="Q33" s="1"/>
      <c r="R33" s="1"/>
      <c r="S33" s="1"/>
      <c r="T33" s="1"/>
      <c r="U33" s="1"/>
      <c r="V33" s="1"/>
    </row>
    <row r="34" spans="1:22">
      <c r="A34" s="1"/>
      <c r="B34" s="1"/>
      <c r="C34" s="1"/>
      <c r="D34" s="1"/>
      <c r="E34" s="1"/>
      <c r="F34" s="1"/>
      <c r="G34" s="1"/>
      <c r="H34" s="1"/>
      <c r="I34" s="1"/>
      <c r="J34" s="1"/>
      <c r="K34" s="1"/>
      <c r="L34" s="1"/>
      <c r="M34" s="1"/>
      <c r="N34" s="1"/>
      <c r="O34" s="1"/>
      <c r="P34" s="1"/>
      <c r="Q34" s="1"/>
      <c r="R34" s="1"/>
      <c r="S34" s="1"/>
      <c r="T34" s="1"/>
      <c r="U34" s="1"/>
      <c r="V34" s="1"/>
    </row>
    <row r="35" spans="1:22">
      <c r="A35" s="1"/>
      <c r="B35" s="1"/>
      <c r="C35" s="1"/>
      <c r="D35" s="1"/>
      <c r="E35" s="1"/>
      <c r="F35" s="1"/>
      <c r="G35" s="1"/>
      <c r="H35" s="1"/>
      <c r="I35" s="1"/>
      <c r="J35" s="1"/>
      <c r="K35" s="1"/>
      <c r="L35" s="1"/>
      <c r="M35" s="1"/>
      <c r="N35" s="1"/>
      <c r="O35" s="1"/>
      <c r="P35" s="1"/>
      <c r="Q35" s="1"/>
      <c r="R35" s="1"/>
      <c r="S35" s="1"/>
      <c r="T35" s="1"/>
      <c r="U35" s="1"/>
      <c r="V35" s="1"/>
    </row>
    <row r="36" spans="1:22">
      <c r="A36" s="1"/>
      <c r="B36" s="1"/>
      <c r="C36" s="1"/>
      <c r="D36" s="1"/>
      <c r="E36" s="1"/>
      <c r="F36" s="1"/>
      <c r="G36" s="1"/>
      <c r="H36" s="1"/>
      <c r="I36" s="1"/>
      <c r="J36" s="1"/>
      <c r="K36" s="1"/>
      <c r="L36" s="1"/>
      <c r="M36" s="1"/>
      <c r="N36" s="1"/>
      <c r="O36" s="1"/>
      <c r="P36" s="1"/>
      <c r="Q36" s="1"/>
      <c r="R36" s="1"/>
      <c r="S36" s="1"/>
      <c r="T36" s="1"/>
      <c r="U36" s="1"/>
      <c r="V36" s="1"/>
    </row>
    <row r="37" spans="1:22">
      <c r="A37" s="1"/>
      <c r="B37" s="1"/>
      <c r="C37" s="1"/>
      <c r="D37" s="1"/>
      <c r="E37" s="1"/>
      <c r="F37" s="1"/>
      <c r="G37" s="1"/>
      <c r="H37" s="1"/>
      <c r="I37" s="1"/>
      <c r="J37" s="1"/>
      <c r="K37" s="1"/>
      <c r="L37" s="1"/>
      <c r="M37" s="1"/>
      <c r="N37" s="1"/>
      <c r="O37" s="1"/>
      <c r="P37" s="1"/>
      <c r="Q37" s="1"/>
      <c r="R37" s="1"/>
      <c r="S37" s="1"/>
      <c r="T37" s="1"/>
      <c r="U37" s="1"/>
      <c r="V37" s="1"/>
    </row>
    <row r="38" spans="1:22">
      <c r="A38" s="1"/>
      <c r="B38" s="1"/>
      <c r="C38" s="1"/>
      <c r="D38" s="1"/>
      <c r="E38" s="1"/>
      <c r="F38" s="1"/>
      <c r="G38" s="1"/>
      <c r="H38" s="1"/>
      <c r="I38" s="1"/>
      <c r="J38" s="1"/>
      <c r="K38" s="1"/>
      <c r="L38" s="1"/>
      <c r="M38" s="1"/>
      <c r="N38" s="1"/>
      <c r="O38" s="1"/>
      <c r="P38" s="1"/>
      <c r="Q38" s="1"/>
      <c r="R38" s="1"/>
      <c r="S38" s="1"/>
      <c r="T38" s="1"/>
      <c r="U38" s="1"/>
      <c r="V38" s="1"/>
    </row>
    <row r="39" spans="1:22">
      <c r="A39" s="1"/>
      <c r="B39" s="1"/>
      <c r="C39" s="1"/>
      <c r="D39" s="1"/>
      <c r="E39" s="1"/>
      <c r="F39" s="1"/>
      <c r="G39" s="1"/>
      <c r="H39" s="1"/>
      <c r="I39" s="1"/>
      <c r="J39" s="1"/>
      <c r="K39" s="1"/>
      <c r="L39" s="1"/>
      <c r="M39" s="1"/>
      <c r="N39" s="1"/>
      <c r="O39" s="1"/>
      <c r="P39" s="1"/>
      <c r="Q39" s="1"/>
      <c r="R39" s="1"/>
      <c r="S39" s="1"/>
      <c r="T39" s="1"/>
      <c r="U39" s="1"/>
      <c r="V39" s="1"/>
    </row>
    <row r="40" spans="1:22">
      <c r="A40" s="1"/>
      <c r="B40" s="1"/>
      <c r="C40" s="1"/>
      <c r="D40" s="1"/>
      <c r="E40" s="1"/>
      <c r="F40" s="1"/>
      <c r="G40" s="1"/>
      <c r="H40" s="1"/>
      <c r="I40" s="1"/>
      <c r="J40" s="1"/>
      <c r="K40" s="1"/>
      <c r="L40" s="1"/>
      <c r="M40" s="1"/>
      <c r="N40" s="1"/>
      <c r="O40" s="1"/>
      <c r="P40" s="1"/>
      <c r="Q40" s="1"/>
      <c r="R40" s="1"/>
      <c r="S40" s="1"/>
      <c r="T40" s="1"/>
      <c r="U40" s="1"/>
      <c r="V40" s="1"/>
    </row>
    <row r="41" spans="1:22">
      <c r="A41" s="1"/>
      <c r="B41" s="1"/>
      <c r="C41" s="1"/>
      <c r="D41" s="1"/>
      <c r="E41" s="1"/>
      <c r="F41" s="1"/>
      <c r="G41" s="1"/>
      <c r="H41" s="1"/>
      <c r="I41" s="1"/>
      <c r="J41" s="1"/>
      <c r="K41" s="1"/>
      <c r="L41" s="1"/>
      <c r="M41" s="1"/>
      <c r="N41" s="1"/>
      <c r="O41" s="1"/>
      <c r="P41" s="1"/>
      <c r="Q41" s="1"/>
      <c r="R41" s="1"/>
      <c r="S41" s="1"/>
      <c r="T41" s="1"/>
      <c r="U41" s="1"/>
      <c r="V41" s="1"/>
    </row>
    <row r="42" spans="1:22">
      <c r="A42" s="1"/>
      <c r="B42" s="1"/>
      <c r="C42" s="1"/>
      <c r="D42" s="1"/>
      <c r="E42" s="1"/>
      <c r="F42" s="1"/>
      <c r="G42" s="1"/>
      <c r="H42" s="1"/>
      <c r="I42" s="1"/>
      <c r="J42" s="1"/>
      <c r="K42" s="1"/>
      <c r="L42" s="1"/>
      <c r="M42" s="1"/>
      <c r="N42" s="1"/>
      <c r="O42" s="1"/>
      <c r="P42" s="1"/>
      <c r="Q42" s="1"/>
      <c r="R42" s="1"/>
      <c r="S42" s="1"/>
      <c r="T42" s="1"/>
      <c r="U42" s="1"/>
      <c r="V42" s="1"/>
    </row>
    <row r="43" spans="1:22">
      <c r="A43" s="1"/>
      <c r="B43" s="1"/>
      <c r="C43" s="1"/>
      <c r="D43" s="1"/>
      <c r="E43" s="1"/>
      <c r="F43" s="1"/>
      <c r="G43" s="1"/>
      <c r="H43" s="1"/>
      <c r="I43" s="1"/>
      <c r="J43" s="1"/>
      <c r="K43" s="1"/>
      <c r="L43" s="1"/>
      <c r="M43" s="1"/>
      <c r="N43" s="1"/>
      <c r="O43" s="1"/>
      <c r="P43" s="1"/>
      <c r="Q43" s="1"/>
      <c r="R43" s="1"/>
      <c r="S43" s="1"/>
      <c r="T43" s="1"/>
      <c r="U43" s="1"/>
      <c r="V43" s="1"/>
    </row>
    <row r="44" spans="1:22">
      <c r="A44" s="1"/>
      <c r="B44" s="1"/>
      <c r="C44" s="1"/>
      <c r="D44" s="1"/>
      <c r="E44" s="1"/>
      <c r="F44" s="1"/>
      <c r="G44" s="1"/>
      <c r="H44" s="1"/>
      <c r="I44" s="1"/>
      <c r="J44" s="1"/>
      <c r="K44" s="1"/>
      <c r="L44" s="1"/>
      <c r="M44" s="1"/>
      <c r="N44" s="1"/>
      <c r="O44" s="1"/>
      <c r="P44" s="1"/>
      <c r="Q44" s="1"/>
      <c r="R44" s="1"/>
      <c r="S44" s="1"/>
      <c r="T44" s="1"/>
      <c r="U44" s="1"/>
      <c r="V44" s="1"/>
    </row>
    <row r="45" spans="1:22">
      <c r="A45" s="1"/>
      <c r="B45" s="1"/>
      <c r="C45" s="1"/>
      <c r="D45" s="1"/>
      <c r="E45" s="1"/>
      <c r="F45" s="1"/>
      <c r="G45" s="1"/>
      <c r="H45" s="1"/>
      <c r="I45" s="1"/>
      <c r="J45" s="1"/>
      <c r="K45" s="1"/>
      <c r="L45" s="1"/>
      <c r="M45" s="1"/>
      <c r="N45" s="1"/>
      <c r="O45" s="1"/>
      <c r="P45" s="1"/>
      <c r="Q45" s="1"/>
      <c r="R45" s="1"/>
      <c r="S45" s="1"/>
      <c r="T45" s="1"/>
      <c r="U45" s="1"/>
      <c r="V45" s="1"/>
    </row>
    <row r="46" spans="1:22">
      <c r="A46" s="1"/>
      <c r="B46" s="1"/>
      <c r="C46" s="1"/>
      <c r="D46" s="1"/>
      <c r="E46" s="1"/>
      <c r="F46" s="1"/>
      <c r="G46" s="1"/>
      <c r="H46" s="1"/>
      <c r="I46" s="1"/>
      <c r="J46" s="1"/>
      <c r="K46" s="1"/>
      <c r="L46" s="1"/>
      <c r="M46" s="1"/>
      <c r="N46" s="1"/>
      <c r="O46" s="1"/>
      <c r="P46" s="1"/>
      <c r="Q46" s="1"/>
      <c r="R46" s="1"/>
      <c r="S46" s="1"/>
      <c r="T46" s="1"/>
      <c r="U46" s="1"/>
      <c r="V46" s="1"/>
    </row>
    <row r="47" spans="1:22">
      <c r="A47" s="1"/>
      <c r="B47" s="1"/>
      <c r="C47" s="1"/>
      <c r="D47" s="1"/>
      <c r="E47" s="1"/>
      <c r="F47" s="1"/>
      <c r="G47" s="1"/>
      <c r="H47" s="1"/>
      <c r="I47" s="1"/>
      <c r="J47" s="1"/>
      <c r="K47" s="1"/>
      <c r="L47" s="1"/>
      <c r="M47" s="1"/>
      <c r="N47" s="1"/>
      <c r="O47" s="1"/>
      <c r="P47" s="1"/>
      <c r="Q47" s="1"/>
      <c r="R47" s="1"/>
      <c r="S47" s="1"/>
      <c r="T47" s="1"/>
      <c r="U47" s="1"/>
      <c r="V47" s="1"/>
    </row>
    <row r="48" spans="1:22">
      <c r="A48" s="1"/>
      <c r="B48" s="1"/>
      <c r="C48" s="1"/>
      <c r="D48" s="1"/>
      <c r="E48" s="1"/>
      <c r="F48" s="1"/>
      <c r="G48" s="1"/>
      <c r="H48" s="1"/>
      <c r="I48" s="1"/>
      <c r="J48" s="1"/>
      <c r="K48" s="1"/>
      <c r="L48" s="1"/>
      <c r="M48" s="1"/>
      <c r="N48" s="1"/>
      <c r="O48" s="1"/>
      <c r="P48" s="1"/>
      <c r="Q48" s="1"/>
      <c r="R48" s="1"/>
      <c r="S48" s="1"/>
      <c r="T48" s="1"/>
      <c r="U48" s="1"/>
      <c r="V48" s="1"/>
    </row>
    <row r="49" spans="1:22">
      <c r="A49" s="1"/>
      <c r="B49" s="1"/>
      <c r="C49" s="1"/>
      <c r="D49" s="1"/>
      <c r="E49" s="1"/>
      <c r="F49" s="1"/>
      <c r="G49" s="1"/>
      <c r="H49" s="1"/>
      <c r="I49" s="1"/>
      <c r="J49" s="1"/>
      <c r="K49" s="1"/>
      <c r="L49" s="1"/>
      <c r="M49" s="1"/>
      <c r="N49" s="1"/>
      <c r="O49" s="1"/>
      <c r="P49" s="1"/>
      <c r="Q49" s="1"/>
      <c r="R49" s="1"/>
      <c r="S49" s="1"/>
      <c r="T49" s="1"/>
      <c r="U49" s="1"/>
      <c r="V49" s="1"/>
    </row>
    <row r="50" spans="1:22">
      <c r="A50" s="1"/>
      <c r="B50" s="1"/>
      <c r="C50" s="1"/>
      <c r="D50" s="1"/>
      <c r="E50" s="1"/>
      <c r="F50" s="1"/>
      <c r="G50" s="1"/>
      <c r="H50" s="1"/>
      <c r="I50" s="1"/>
      <c r="J50" s="1"/>
      <c r="K50" s="1"/>
      <c r="L50" s="1"/>
      <c r="M50" s="1"/>
      <c r="N50" s="1"/>
      <c r="O50" s="1"/>
      <c r="P50" s="1"/>
      <c r="Q50" s="1"/>
      <c r="R50" s="1"/>
      <c r="S50" s="1"/>
      <c r="T50" s="1"/>
      <c r="U50" s="1"/>
      <c r="V50" s="1"/>
    </row>
    <row r="51" spans="1:22">
      <c r="A51" s="1"/>
      <c r="B51" s="1"/>
      <c r="C51" s="1"/>
      <c r="D51" s="1"/>
      <c r="E51" s="1"/>
      <c r="F51" s="1"/>
      <c r="G51" s="1"/>
      <c r="H51" s="1"/>
      <c r="I51" s="1"/>
      <c r="J51" s="1"/>
      <c r="K51" s="1"/>
      <c r="L51" s="1"/>
      <c r="M51" s="1"/>
      <c r="N51" s="1"/>
      <c r="O51" s="1"/>
      <c r="P51" s="1"/>
      <c r="Q51" s="1"/>
      <c r="R51" s="1"/>
      <c r="S51" s="1"/>
      <c r="T51" s="1"/>
      <c r="U51" s="1"/>
      <c r="V51" s="1"/>
    </row>
    <row r="52" spans="1:22">
      <c r="A52" s="1"/>
      <c r="B52" s="1"/>
      <c r="C52" s="1"/>
      <c r="D52" s="1"/>
      <c r="E52" s="1"/>
      <c r="F52" s="1"/>
      <c r="G52" s="1"/>
      <c r="H52" s="1"/>
      <c r="I52" s="1"/>
      <c r="J52" s="1"/>
      <c r="K52" s="1"/>
      <c r="L52" s="1"/>
      <c r="M52" s="1"/>
      <c r="N52" s="1"/>
      <c r="O52" s="1"/>
      <c r="P52" s="1"/>
      <c r="Q52" s="1"/>
      <c r="R52" s="1"/>
      <c r="S52" s="1"/>
      <c r="T52" s="1"/>
      <c r="U52" s="1"/>
      <c r="V52" s="1"/>
    </row>
    <row r="53" spans="1:22">
      <c r="A53" s="1"/>
      <c r="B53" s="1"/>
      <c r="C53" s="1"/>
      <c r="D53" s="1"/>
      <c r="E53" s="1"/>
      <c r="F53" s="1"/>
      <c r="G53" s="1"/>
      <c r="H53" s="1"/>
      <c r="I53" s="1"/>
      <c r="J53" s="1"/>
      <c r="K53" s="1"/>
      <c r="L53" s="1"/>
      <c r="M53" s="1"/>
      <c r="N53" s="1"/>
      <c r="O53" s="1"/>
      <c r="P53" s="1"/>
      <c r="Q53" s="1"/>
      <c r="R53" s="1"/>
      <c r="S53" s="1"/>
      <c r="T53" s="1"/>
      <c r="U53" s="1"/>
      <c r="V53" s="1"/>
    </row>
    <row r="54" spans="1:22">
      <c r="A54" s="1"/>
      <c r="B54" s="1"/>
      <c r="C54" s="1"/>
      <c r="D54" s="1"/>
      <c r="E54" s="1"/>
      <c r="F54" s="1"/>
      <c r="G54" s="1"/>
      <c r="H54" s="1"/>
      <c r="I54" s="1"/>
      <c r="J54" s="1"/>
      <c r="K54" s="1"/>
      <c r="L54" s="1"/>
      <c r="M54" s="1"/>
      <c r="N54" s="1"/>
      <c r="O54" s="1"/>
      <c r="P54" s="1"/>
      <c r="Q54" s="1"/>
      <c r="R54" s="1"/>
      <c r="S54" s="1"/>
      <c r="T54" s="1"/>
      <c r="U54" s="1"/>
      <c r="V54" s="1"/>
    </row>
    <row r="55" spans="1:22">
      <c r="A55" s="1"/>
      <c r="B55" s="1"/>
      <c r="C55" s="1"/>
      <c r="D55" s="1"/>
      <c r="E55" s="1"/>
      <c r="F55" s="1"/>
      <c r="G55" s="1"/>
      <c r="H55" s="1"/>
      <c r="I55" s="1"/>
      <c r="J55" s="1"/>
      <c r="K55" s="1"/>
      <c r="L55" s="1"/>
      <c r="M55" s="1"/>
      <c r="N55" s="1"/>
      <c r="O55" s="1"/>
      <c r="P55" s="1"/>
      <c r="Q55" s="1"/>
      <c r="R55" s="1"/>
      <c r="S55" s="1"/>
      <c r="T55" s="1"/>
      <c r="U55" s="1"/>
      <c r="V55" s="1"/>
    </row>
    <row r="56" spans="1:22">
      <c r="A56" s="1"/>
      <c r="B56" s="1"/>
      <c r="C56" s="1"/>
      <c r="D56" s="1"/>
      <c r="E56" s="1"/>
      <c r="F56" s="1"/>
      <c r="G56" s="1"/>
      <c r="H56" s="1"/>
      <c r="I56" s="1"/>
      <c r="J56" s="1"/>
      <c r="K56" s="1"/>
      <c r="L56" s="1"/>
      <c r="M56" s="1"/>
      <c r="N56" s="1"/>
      <c r="O56" s="1"/>
      <c r="P56" s="1"/>
      <c r="Q56" s="1"/>
      <c r="R56" s="1"/>
      <c r="S56" s="1"/>
      <c r="T56" s="1"/>
      <c r="U56" s="1"/>
      <c r="V56" s="1"/>
    </row>
    <row r="57" spans="1:22">
      <c r="A57" s="1"/>
      <c r="B57" s="1"/>
      <c r="C57" s="1"/>
      <c r="D57" s="1"/>
      <c r="E57" s="1"/>
      <c r="F57" s="1"/>
      <c r="G57" s="1"/>
      <c r="H57" s="1"/>
      <c r="I57" s="1"/>
      <c r="J57" s="1"/>
      <c r="K57" s="1"/>
      <c r="L57" s="1"/>
      <c r="M57" s="1"/>
      <c r="N57" s="1"/>
      <c r="O57" s="1"/>
      <c r="P57" s="1"/>
      <c r="Q57" s="1"/>
      <c r="R57" s="1"/>
      <c r="S57" s="1"/>
      <c r="T57" s="1"/>
      <c r="U57" s="1"/>
      <c r="V57" s="1"/>
    </row>
    <row r="58" spans="1:22">
      <c r="A58" s="1"/>
      <c r="B58" s="1"/>
      <c r="C58" s="1"/>
      <c r="D58" s="1"/>
      <c r="E58" s="1"/>
      <c r="F58" s="1"/>
      <c r="G58" s="1"/>
      <c r="H58" s="1"/>
      <c r="I58" s="1"/>
      <c r="J58" s="1"/>
      <c r="K58" s="1"/>
      <c r="L58" s="1"/>
      <c r="M58" s="1"/>
      <c r="N58" s="1"/>
      <c r="O58" s="1"/>
      <c r="P58" s="1"/>
      <c r="Q58" s="1"/>
      <c r="R58" s="1"/>
      <c r="S58" s="1"/>
      <c r="T58" s="1"/>
      <c r="U58" s="1"/>
      <c r="V58" s="1"/>
    </row>
    <row r="59" spans="1:22">
      <c r="A59" s="1"/>
      <c r="B59" s="1"/>
      <c r="C59" s="1"/>
      <c r="D59" s="1"/>
      <c r="E59" s="1"/>
      <c r="F59" s="1"/>
      <c r="G59" s="1"/>
      <c r="H59" s="1"/>
      <c r="I59" s="1"/>
      <c r="J59" s="1"/>
      <c r="K59" s="1"/>
      <c r="L59" s="1"/>
      <c r="M59" s="1"/>
      <c r="N59" s="1"/>
      <c r="O59" s="1"/>
      <c r="P59" s="1"/>
      <c r="Q59" s="1"/>
      <c r="R59" s="1"/>
      <c r="S59" s="1"/>
      <c r="T59" s="1"/>
      <c r="U59" s="1"/>
      <c r="V59" s="1"/>
    </row>
    <row r="60" spans="1:22">
      <c r="A60" s="1"/>
      <c r="B60" s="1"/>
      <c r="C60" s="1"/>
      <c r="D60" s="1"/>
      <c r="E60" s="1"/>
      <c r="F60" s="1"/>
      <c r="G60" s="1"/>
      <c r="H60" s="1"/>
      <c r="I60" s="1"/>
      <c r="J60" s="1"/>
      <c r="K60" s="1"/>
      <c r="L60" s="1"/>
      <c r="M60" s="1"/>
      <c r="N60" s="1"/>
      <c r="O60" s="1"/>
      <c r="P60" s="1"/>
      <c r="Q60" s="1"/>
      <c r="R60" s="1"/>
      <c r="S60" s="1"/>
      <c r="T60" s="1"/>
      <c r="U60" s="1"/>
      <c r="V60" s="1"/>
    </row>
    <row r="61" spans="1:22">
      <c r="A61" s="1"/>
      <c r="B61" s="1"/>
      <c r="C61" s="1"/>
      <c r="D61" s="1"/>
      <c r="E61" s="1"/>
      <c r="F61" s="1"/>
      <c r="G61" s="1"/>
      <c r="H61" s="1"/>
      <c r="I61" s="1"/>
      <c r="J61" s="1"/>
      <c r="K61" s="1"/>
      <c r="L61" s="1"/>
      <c r="M61" s="1"/>
      <c r="N61" s="1"/>
      <c r="O61" s="1"/>
      <c r="P61" s="1"/>
      <c r="Q61" s="1"/>
      <c r="R61" s="1"/>
      <c r="S61" s="1"/>
      <c r="T61" s="1"/>
      <c r="U61" s="1"/>
      <c r="V61" s="1"/>
    </row>
    <row r="62" spans="1:22">
      <c r="A62" s="1"/>
      <c r="B62" s="1"/>
      <c r="C62" s="1"/>
      <c r="D62" s="1"/>
      <c r="E62" s="1"/>
      <c r="F62" s="1"/>
      <c r="G62" s="1"/>
      <c r="H62" s="1"/>
      <c r="I62" s="1"/>
      <c r="J62" s="1"/>
      <c r="K62" s="1"/>
      <c r="L62" s="1"/>
      <c r="M62" s="1"/>
      <c r="N62" s="1"/>
      <c r="O62" s="1"/>
      <c r="P62" s="1"/>
      <c r="Q62" s="1"/>
      <c r="R62" s="1"/>
      <c r="S62" s="1"/>
      <c r="T62" s="1"/>
      <c r="U62" s="1"/>
      <c r="V62" s="1"/>
    </row>
    <row r="63" spans="1:22">
      <c r="A63" s="1"/>
      <c r="B63" s="1"/>
      <c r="C63" s="1"/>
      <c r="D63" s="1"/>
      <c r="E63" s="1"/>
      <c r="F63" s="1"/>
      <c r="G63" s="1"/>
      <c r="H63" s="1"/>
      <c r="I63" s="1"/>
      <c r="J63" s="1"/>
      <c r="K63" s="1"/>
      <c r="L63" s="1"/>
      <c r="M63" s="1"/>
      <c r="N63" s="1"/>
      <c r="O63" s="1"/>
      <c r="P63" s="1"/>
      <c r="Q63" s="1"/>
      <c r="R63" s="1"/>
      <c r="S63" s="1"/>
      <c r="T63" s="1"/>
      <c r="U63" s="1"/>
      <c r="V63" s="1"/>
    </row>
    <row r="64" spans="1:22">
      <c r="A64" s="1"/>
      <c r="B64" s="1"/>
      <c r="C64" s="1"/>
      <c r="D64" s="1"/>
      <c r="E64" s="1"/>
      <c r="F64" s="1"/>
      <c r="G64" s="1"/>
      <c r="H64" s="1"/>
      <c r="I64" s="1"/>
      <c r="J64" s="1"/>
      <c r="K64" s="1"/>
      <c r="L64" s="1"/>
      <c r="M64" s="1"/>
      <c r="N64" s="1"/>
      <c r="O64" s="1"/>
      <c r="P64" s="1"/>
      <c r="Q64" s="1"/>
      <c r="R64" s="1"/>
      <c r="S64" s="1"/>
      <c r="T64" s="1"/>
      <c r="U64" s="1"/>
      <c r="V64" s="1"/>
    </row>
    <row r="65" spans="1:22">
      <c r="A65" s="1"/>
      <c r="B65" s="1"/>
      <c r="C65" s="1"/>
      <c r="D65" s="1"/>
      <c r="E65" s="1"/>
      <c r="F65" s="1"/>
      <c r="G65" s="1"/>
      <c r="H65" s="1"/>
      <c r="I65" s="1"/>
      <c r="J65" s="1"/>
      <c r="K65" s="1"/>
      <c r="L65" s="1"/>
      <c r="M65" s="1"/>
      <c r="N65" s="1"/>
      <c r="O65" s="1"/>
      <c r="P65" s="1"/>
      <c r="Q65" s="1"/>
      <c r="R65" s="1"/>
      <c r="S65" s="1"/>
      <c r="T65" s="1"/>
      <c r="U65" s="1"/>
      <c r="V65" s="1"/>
    </row>
    <row r="66" spans="1:22">
      <c r="A66" s="1"/>
      <c r="B66" s="1"/>
      <c r="C66" s="1"/>
      <c r="D66" s="1"/>
      <c r="E66" s="1"/>
      <c r="F66" s="1"/>
      <c r="G66" s="1"/>
      <c r="H66" s="1"/>
      <c r="I66" s="1"/>
      <c r="J66" s="1"/>
      <c r="K66" s="1"/>
      <c r="L66" s="1"/>
      <c r="M66" s="1"/>
      <c r="N66" s="1"/>
      <c r="O66" s="1"/>
      <c r="P66" s="1"/>
      <c r="Q66" s="1"/>
      <c r="R66" s="1"/>
      <c r="S66" s="1"/>
      <c r="T66" s="1"/>
      <c r="U66" s="1"/>
      <c r="V66" s="1"/>
    </row>
    <row r="67" spans="1:22">
      <c r="A67" s="1"/>
      <c r="B67" s="1"/>
      <c r="C67" s="1"/>
      <c r="D67" s="1"/>
      <c r="E67" s="1"/>
      <c r="F67" s="1"/>
      <c r="G67" s="1"/>
      <c r="H67" s="1"/>
      <c r="I67" s="1"/>
      <c r="J67" s="1"/>
      <c r="K67" s="1"/>
      <c r="L67" s="1"/>
      <c r="M67" s="1"/>
      <c r="N67" s="1"/>
      <c r="O67" s="1"/>
      <c r="P67" s="1"/>
      <c r="Q67" s="1"/>
      <c r="R67" s="1"/>
      <c r="S67" s="1"/>
      <c r="T67" s="1"/>
      <c r="U67" s="1"/>
      <c r="V67" s="1"/>
    </row>
    <row r="68" spans="1:22">
      <c r="A68" s="1"/>
      <c r="B68" s="1"/>
      <c r="C68" s="1"/>
      <c r="D68" s="1"/>
      <c r="E68" s="1"/>
      <c r="F68" s="1"/>
      <c r="G68" s="1"/>
      <c r="H68" s="1"/>
      <c r="I68" s="1"/>
      <c r="J68" s="1"/>
      <c r="K68" s="1"/>
      <c r="L68" s="1"/>
      <c r="M68" s="1"/>
      <c r="N68" s="1"/>
      <c r="O68" s="1"/>
      <c r="P68" s="1"/>
      <c r="Q68" s="1"/>
      <c r="R68" s="1"/>
      <c r="S68" s="1"/>
      <c r="T68" s="1"/>
      <c r="U68" s="1"/>
      <c r="V68" s="1"/>
    </row>
    <row r="69" spans="1:22">
      <c r="A69" s="1"/>
      <c r="B69" s="1"/>
      <c r="C69" s="1"/>
      <c r="D69" s="1"/>
      <c r="E69" s="1"/>
      <c r="F69" s="1"/>
      <c r="G69" s="1"/>
      <c r="H69" s="1"/>
      <c r="I69" s="1"/>
      <c r="J69" s="1"/>
      <c r="K69" s="1"/>
      <c r="L69" s="1"/>
      <c r="M69" s="1"/>
      <c r="N69" s="1"/>
      <c r="O69" s="1"/>
      <c r="P69" s="1"/>
      <c r="Q69" s="1"/>
      <c r="R69" s="1"/>
      <c r="S69" s="1"/>
      <c r="T69" s="1"/>
      <c r="U69" s="1"/>
      <c r="V69" s="1"/>
    </row>
    <row r="70" spans="1:22">
      <c r="A70" s="1"/>
      <c r="B70" s="1"/>
      <c r="C70" s="1"/>
      <c r="D70" s="1"/>
      <c r="E70" s="1"/>
      <c r="F70" s="1"/>
      <c r="G70" s="1"/>
      <c r="H70" s="1"/>
      <c r="I70" s="1"/>
      <c r="J70" s="1"/>
      <c r="K70" s="1"/>
      <c r="L70" s="1"/>
      <c r="M70" s="1"/>
      <c r="N70" s="1"/>
      <c r="O70" s="1"/>
      <c r="P70" s="1"/>
      <c r="Q70" s="1"/>
      <c r="R70" s="1"/>
      <c r="S70" s="1"/>
      <c r="T70" s="1"/>
      <c r="U70" s="1"/>
      <c r="V70" s="1"/>
    </row>
    <row r="71" spans="1:22">
      <c r="A71" s="1"/>
      <c r="B71" s="1"/>
      <c r="C71" s="1"/>
      <c r="D71" s="1"/>
      <c r="E71" s="1"/>
      <c r="F71" s="1"/>
      <c r="G71" s="1"/>
      <c r="H71" s="1"/>
      <c r="I71" s="1"/>
      <c r="J71" s="1"/>
      <c r="K71" s="1"/>
      <c r="L71" s="1"/>
      <c r="M71" s="1"/>
      <c r="N71" s="1"/>
      <c r="O71" s="1"/>
      <c r="P71" s="1"/>
      <c r="Q71" s="1"/>
      <c r="R71" s="1"/>
      <c r="S71" s="1"/>
      <c r="T71" s="1"/>
      <c r="U71" s="1"/>
      <c r="V71" s="1"/>
    </row>
    <row r="72" spans="1:22">
      <c r="A72" s="1"/>
      <c r="B72" s="1"/>
      <c r="C72" s="1"/>
      <c r="D72" s="1"/>
      <c r="E72" s="1"/>
      <c r="F72" s="1"/>
      <c r="G72" s="1"/>
      <c r="H72" s="1"/>
      <c r="I72" s="1"/>
      <c r="J72" s="1"/>
      <c r="K72" s="1"/>
      <c r="L72" s="1"/>
      <c r="M72" s="1"/>
      <c r="N72" s="1"/>
      <c r="O72" s="1"/>
      <c r="P72" s="1"/>
      <c r="Q72" s="1"/>
      <c r="R72" s="1"/>
      <c r="S72" s="1"/>
      <c r="T72" s="1"/>
      <c r="U72" s="1"/>
      <c r="V72" s="1"/>
    </row>
    <row r="73" spans="1:22">
      <c r="A73" s="1"/>
      <c r="B73" s="1"/>
      <c r="C73" s="1"/>
      <c r="D73" s="1"/>
      <c r="E73" s="1"/>
      <c r="F73" s="1"/>
      <c r="G73" s="1"/>
      <c r="H73" s="1"/>
      <c r="I73" s="1"/>
      <c r="J73" s="1"/>
      <c r="K73" s="1"/>
      <c r="L73" s="1"/>
      <c r="M73" s="1"/>
      <c r="N73" s="1"/>
      <c r="O73" s="1"/>
      <c r="P73" s="1"/>
      <c r="Q73" s="1"/>
      <c r="R73" s="1"/>
      <c r="S73" s="1"/>
      <c r="T73" s="1"/>
      <c r="U73" s="1"/>
      <c r="V73" s="1"/>
    </row>
    <row r="74" spans="1:22">
      <c r="A74" s="1"/>
      <c r="B74" s="1"/>
      <c r="C74" s="1"/>
      <c r="D74" s="1"/>
      <c r="E74" s="1"/>
      <c r="F74" s="1"/>
      <c r="G74" s="1"/>
      <c r="H74" s="1"/>
      <c r="I74" s="1"/>
      <c r="J74" s="1"/>
      <c r="K74" s="1"/>
      <c r="L74" s="1"/>
      <c r="M74" s="1"/>
      <c r="N74" s="1"/>
      <c r="O74" s="1"/>
      <c r="P74" s="1"/>
      <c r="Q74" s="1"/>
      <c r="R74" s="1"/>
      <c r="S74" s="1"/>
      <c r="T74" s="1"/>
      <c r="U74" s="1"/>
      <c r="V74" s="1"/>
    </row>
    <row r="75" spans="1:22">
      <c r="A75" s="1"/>
      <c r="B75" s="1"/>
      <c r="C75" s="1"/>
      <c r="D75" s="1"/>
      <c r="E75" s="1"/>
      <c r="F75" s="1"/>
      <c r="G75" s="1"/>
      <c r="H75" s="1"/>
      <c r="I75" s="1"/>
      <c r="J75" s="1"/>
      <c r="K75" s="1"/>
      <c r="L75" s="1"/>
      <c r="M75" s="1"/>
      <c r="N75" s="1"/>
      <c r="O75" s="1"/>
      <c r="P75" s="1"/>
      <c r="Q75" s="1"/>
      <c r="R75" s="1"/>
      <c r="S75" s="1"/>
      <c r="T75" s="1"/>
      <c r="U75" s="1"/>
      <c r="V75" s="1"/>
    </row>
    <row r="76" spans="1:22">
      <c r="A76" s="1"/>
      <c r="B76" s="1"/>
      <c r="C76" s="1"/>
      <c r="D76" s="1"/>
      <c r="E76" s="1"/>
      <c r="F76" s="1"/>
      <c r="G76" s="1"/>
      <c r="H76" s="1"/>
      <c r="I76" s="1"/>
      <c r="J76" s="1"/>
      <c r="K76" s="1"/>
      <c r="L76" s="1"/>
      <c r="M76" s="1"/>
      <c r="N76" s="1"/>
      <c r="O76" s="1"/>
      <c r="P76" s="1"/>
      <c r="Q76" s="1"/>
      <c r="R76" s="1"/>
      <c r="S76" s="1"/>
      <c r="T76" s="1"/>
      <c r="U76" s="1"/>
      <c r="V76" s="1"/>
    </row>
  </sheetData>
  <sheetProtection algorithmName="SHA-512" hashValue="uMVkHXIBPoddoGHAeIvGJNl08RMzYoIi3BTM8AKECLDBkBslwgY6HtIYFpKzgIz9EvykeBsnGNp4PDtX5YITBA==" saltValue="X//bnj/i0TuHmlt7K3LUmQ==" spinCount="100000" sheet="1" objects="1" scenarios="1"/>
  <mergeCells count="1">
    <mergeCell ref="B2:K3"/>
  </mergeCells>
  <pageMargins left="0.7" right="0.7" top="0.75" bottom="0.75" header="0.3" footer="0.3"/>
  <pageSetup paperSize="9" scale="60" orientation="landscape" r:id="rId1"/>
  <headerFooter>
    <oddFooter>&amp;LNova Scotia Exploration Economics Model&amp;Rwww.indeva.com</oddFooter>
  </headerFooter>
  <colBreaks count="1" manualBreakCount="1">
    <brk id="19"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tabColor rgb="FFFFFF00"/>
  </sheetPr>
  <dimension ref="A1:D24"/>
  <sheetViews>
    <sheetView showGridLines="0" showRowColHeaders="0" workbookViewId="0"/>
  </sheetViews>
  <sheetFormatPr defaultRowHeight="15"/>
  <cols>
    <col min="1" max="1" width="15.85546875" customWidth="1"/>
    <col min="2" max="2" width="50.5703125" customWidth="1"/>
    <col min="3" max="3" width="87" customWidth="1"/>
    <col min="4" max="4" width="15.85546875" customWidth="1"/>
  </cols>
  <sheetData>
    <row r="1" spans="1:4" ht="26.25" customHeight="1">
      <c r="A1" s="355" t="s">
        <v>764</v>
      </c>
      <c r="B1" s="355" t="s">
        <v>943</v>
      </c>
      <c r="C1" s="357" t="s">
        <v>944</v>
      </c>
      <c r="D1" s="357" t="s">
        <v>762</v>
      </c>
    </row>
    <row r="2" spans="1:4" ht="61.5" customHeight="1">
      <c r="A2" s="358">
        <v>1</v>
      </c>
      <c r="B2" s="541" t="s">
        <v>945</v>
      </c>
      <c r="C2" s="542" t="s">
        <v>956</v>
      </c>
      <c r="D2" s="543" t="s">
        <v>139</v>
      </c>
    </row>
    <row r="3" spans="1:4" ht="61.5" customHeight="1">
      <c r="A3" s="358">
        <v>2</v>
      </c>
      <c r="B3" s="541" t="s">
        <v>946</v>
      </c>
      <c r="C3" s="542" t="s">
        <v>957</v>
      </c>
      <c r="D3" s="543" t="s">
        <v>759</v>
      </c>
    </row>
    <row r="4" spans="1:4" ht="67.5" customHeight="1">
      <c r="A4" s="358">
        <v>3</v>
      </c>
      <c r="B4" s="541" t="s">
        <v>947</v>
      </c>
      <c r="C4" s="542" t="s">
        <v>958</v>
      </c>
      <c r="D4" s="543" t="s">
        <v>41</v>
      </c>
    </row>
    <row r="5" spans="1:4" ht="61.5" customHeight="1">
      <c r="A5" s="358">
        <v>4</v>
      </c>
      <c r="B5" s="541" t="s">
        <v>948</v>
      </c>
      <c r="C5" s="542" t="s">
        <v>949</v>
      </c>
      <c r="D5" s="543" t="s">
        <v>768</v>
      </c>
    </row>
    <row r="6" spans="1:4" ht="61.5" customHeight="1">
      <c r="A6" s="358">
        <v>5</v>
      </c>
      <c r="B6" s="541" t="s">
        <v>950</v>
      </c>
      <c r="C6" s="542" t="s">
        <v>951</v>
      </c>
      <c r="D6" s="543" t="s">
        <v>285</v>
      </c>
    </row>
    <row r="7" spans="1:4" ht="61.5" customHeight="1">
      <c r="A7" s="358">
        <v>6</v>
      </c>
      <c r="B7" s="541" t="s">
        <v>952</v>
      </c>
      <c r="C7" s="542" t="s">
        <v>953</v>
      </c>
      <c r="D7" s="543" t="s">
        <v>41</v>
      </c>
    </row>
    <row r="8" spans="1:4" ht="61.5" customHeight="1">
      <c r="A8" s="358">
        <v>7</v>
      </c>
      <c r="B8" s="541" t="s">
        <v>954</v>
      </c>
      <c r="C8" s="542" t="s">
        <v>955</v>
      </c>
      <c r="D8" s="543" t="s">
        <v>41</v>
      </c>
    </row>
    <row r="9" spans="1:4" ht="89.25" customHeight="1">
      <c r="A9" s="358">
        <v>8</v>
      </c>
      <c r="B9" s="541" t="s">
        <v>1038</v>
      </c>
      <c r="C9" s="542" t="s">
        <v>1100</v>
      </c>
      <c r="D9" s="543"/>
    </row>
    <row r="10" spans="1:4" ht="61.5" customHeight="1">
      <c r="A10" s="358">
        <v>9</v>
      </c>
      <c r="B10" s="541" t="s">
        <v>1101</v>
      </c>
      <c r="C10" s="542" t="s">
        <v>1102</v>
      </c>
      <c r="D10" s="543"/>
    </row>
    <row r="11" spans="1:4" ht="61.5" customHeight="1">
      <c r="A11" s="358">
        <v>10</v>
      </c>
      <c r="B11" s="541"/>
      <c r="C11" s="542"/>
      <c r="D11" s="543"/>
    </row>
    <row r="12" spans="1:4" ht="61.5" customHeight="1">
      <c r="A12" s="358">
        <v>11</v>
      </c>
      <c r="B12" s="541"/>
      <c r="C12" s="542"/>
      <c r="D12" s="543"/>
    </row>
    <row r="13" spans="1:4" ht="61.5" customHeight="1">
      <c r="A13" s="358">
        <v>12</v>
      </c>
      <c r="B13" s="541"/>
      <c r="C13" s="542"/>
      <c r="D13" s="543"/>
    </row>
    <row r="14" spans="1:4" ht="61.5" customHeight="1">
      <c r="A14" s="358">
        <v>13</v>
      </c>
      <c r="B14" s="541"/>
      <c r="C14" s="542"/>
      <c r="D14" s="543"/>
    </row>
    <row r="15" spans="1:4" ht="61.5" customHeight="1">
      <c r="A15" s="358">
        <v>14</v>
      </c>
      <c r="B15" s="541"/>
      <c r="C15" s="542"/>
      <c r="D15" s="543"/>
    </row>
    <row r="16" spans="1:4" ht="61.5" customHeight="1">
      <c r="A16" s="358">
        <v>15</v>
      </c>
      <c r="B16" s="541"/>
      <c r="C16" s="542"/>
      <c r="D16" s="543"/>
    </row>
    <row r="17" spans="1:4" ht="61.5" customHeight="1">
      <c r="A17" s="358">
        <v>16</v>
      </c>
      <c r="B17" s="541"/>
      <c r="C17" s="542"/>
      <c r="D17" s="543"/>
    </row>
    <row r="18" spans="1:4" ht="61.5" customHeight="1">
      <c r="A18" s="358">
        <v>17</v>
      </c>
      <c r="B18" s="541"/>
      <c r="C18" s="542"/>
      <c r="D18" s="543"/>
    </row>
    <row r="19" spans="1:4" ht="61.5" customHeight="1">
      <c r="A19" s="358">
        <v>18</v>
      </c>
      <c r="B19" s="541"/>
      <c r="C19" s="542"/>
      <c r="D19" s="543"/>
    </row>
    <row r="20" spans="1:4" ht="61.5" customHeight="1">
      <c r="A20" s="358">
        <v>19</v>
      </c>
      <c r="B20" s="541"/>
      <c r="C20" s="542"/>
      <c r="D20" s="543"/>
    </row>
    <row r="21" spans="1:4" ht="61.5" customHeight="1">
      <c r="A21" s="358">
        <v>20</v>
      </c>
      <c r="B21" s="541"/>
      <c r="C21" s="542"/>
      <c r="D21" s="543"/>
    </row>
    <row r="22" spans="1:4" ht="61.5" customHeight="1">
      <c r="A22" s="83"/>
      <c r="B22" s="83"/>
      <c r="C22" s="83"/>
      <c r="D22" s="83"/>
    </row>
    <row r="23" spans="1:4" ht="61.5" customHeight="1">
      <c r="A23" s="83"/>
      <c r="B23" s="83"/>
      <c r="C23" s="83"/>
      <c r="D23" s="83"/>
    </row>
    <row r="24" spans="1:4">
      <c r="A24" s="83"/>
      <c r="B24" s="83"/>
      <c r="C24" s="83"/>
      <c r="D24" s="83"/>
    </row>
  </sheetData>
  <sheetProtection algorithmName="SHA-512" hashValue="SghFThsCxe8A3V3Gv9KKPQCIoBZmj3M1PSk94gkw0DzIDNF7teKBI68Z1sBWp8u/Qth9iJCpXI4dD6ahUNsEfQ==" saltValue="3UILQ7FjN0UZSUfFF6FL7w==" spinCount="100000" sheet="1" objects="1" scenarios="1"/>
  <hyperlinks>
    <hyperlink ref="D2" location="Input" display="Input" xr:uid="{00000000-0004-0000-0500-000000000000}"/>
    <hyperlink ref="D3" location="Economics" display="Economics" xr:uid="{00000000-0004-0000-0500-000001000000}"/>
    <hyperlink ref="D4" location="Costs" display="Costs" xr:uid="{00000000-0004-0000-0500-000002000000}"/>
    <hyperlink ref="D5" location="Schedule" display="Schedule" xr:uid="{00000000-0004-0000-0500-000003000000}"/>
    <hyperlink ref="D6" location="Override" display="Override" xr:uid="{00000000-0004-0000-0500-000004000000}"/>
    <hyperlink ref="D7" location="Costs" display="Costs" xr:uid="{00000000-0004-0000-0500-000005000000}"/>
    <hyperlink ref="D8" location="Costs" display="Costs" xr:uid="{00000000-0004-0000-0500-000006000000}"/>
  </hyperlink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tabColor rgb="FFFF0000"/>
    <pageSetUpPr fitToPage="1"/>
  </sheetPr>
  <dimension ref="A1:AF99"/>
  <sheetViews>
    <sheetView showGridLines="0" showRowColHeaders="0" zoomScale="70" zoomScaleNormal="70" zoomScaleSheetLayoutView="70" workbookViewId="0">
      <pane xSplit="3" ySplit="1" topLeftCell="D2" activePane="bottomRight" state="frozen"/>
      <selection pane="topRight" activeCell="D1" sqref="D1"/>
      <selection pane="bottomLeft" activeCell="A2" sqref="A2"/>
      <selection pane="bottomRight" activeCell="B46" sqref="B46"/>
    </sheetView>
  </sheetViews>
  <sheetFormatPr defaultRowHeight="15"/>
  <cols>
    <col min="1" max="1" width="25.140625" customWidth="1"/>
    <col min="2" max="2" width="35.7109375" customWidth="1"/>
    <col min="3" max="3" width="3.7109375" customWidth="1"/>
    <col min="4" max="4" width="13.140625" customWidth="1"/>
    <col min="5" max="5" width="11.85546875" customWidth="1"/>
    <col min="6" max="6" width="9.42578125" customWidth="1"/>
    <col min="7" max="7" width="4.28515625" customWidth="1"/>
    <col min="8" max="8" width="10.42578125" customWidth="1"/>
    <col min="9" max="9" width="14.85546875" customWidth="1"/>
    <col min="10" max="10" width="12.7109375" bestFit="1" customWidth="1"/>
    <col min="11" max="11" width="12" bestFit="1" customWidth="1"/>
    <col min="12" max="14" width="12.7109375" bestFit="1" customWidth="1"/>
    <col min="15" max="19" width="12.85546875" bestFit="1" customWidth="1"/>
  </cols>
  <sheetData>
    <row r="1" spans="1:32" ht="23.25">
      <c r="A1" s="536" t="str">
        <f>B10&amp;" Inputs"</f>
        <v>Prospect X Inputs</v>
      </c>
      <c r="B1" s="537" t="s">
        <v>756</v>
      </c>
      <c r="C1" s="64"/>
      <c r="D1" s="330" t="str">
        <f>B10&amp;" Decision Flow"</f>
        <v>Prospect X Decision Flow</v>
      </c>
      <c r="E1" s="64"/>
      <c r="F1" s="64"/>
      <c r="G1" s="64"/>
      <c r="H1" s="64"/>
      <c r="I1" s="112" t="str">
        <f ca="1">"Note: EMV and Costs in $m discounted to "&amp;IF(B5=Lists!A55,"date of each stage decision",FIXED(DAY(I14),0)&amp;"-"&amp;INDEX(monthtable,MONTH(I14),1)&amp;"-"&amp;RIGHT(FIXED(YEAR(I14),0),2))&amp;IF(NOT(B5=Lists!A55)," (historic costs included in decision flow, excluded elsewhere)","")</f>
        <v>Note: EMV and Costs in $m discounted to 1-Jan-26 (historic costs included in decision flow, excluded elsewhere)</v>
      </c>
      <c r="J1" s="64"/>
      <c r="K1" s="64"/>
      <c r="L1" s="64"/>
      <c r="M1" s="64"/>
      <c r="N1" s="64"/>
      <c r="O1" s="64"/>
      <c r="P1" s="64"/>
      <c r="Q1" s="64"/>
      <c r="R1" s="64"/>
      <c r="S1" s="64"/>
      <c r="T1" s="64"/>
      <c r="U1" s="64"/>
      <c r="V1" s="64"/>
      <c r="W1" s="64"/>
      <c r="X1" s="64"/>
      <c r="Y1" s="64"/>
      <c r="Z1" s="64"/>
      <c r="AA1" s="64"/>
      <c r="AB1" s="64"/>
      <c r="AC1" s="64"/>
      <c r="AD1" s="64"/>
      <c r="AE1" s="64"/>
      <c r="AF1" s="64"/>
    </row>
    <row r="2" spans="1:32" ht="18.75">
      <c r="A2" s="582" t="s">
        <v>1</v>
      </c>
      <c r="B2" s="582"/>
      <c r="C2" s="64"/>
      <c r="D2" s="143"/>
      <c r="E2" s="64"/>
      <c r="F2" s="64"/>
      <c r="G2" s="64"/>
      <c r="H2" s="64"/>
      <c r="I2" s="64"/>
      <c r="J2" s="64"/>
      <c r="K2" s="64"/>
      <c r="L2" s="64"/>
      <c r="M2" s="64"/>
      <c r="N2" s="64"/>
      <c r="O2" s="64"/>
      <c r="P2" s="64"/>
      <c r="Q2" s="64"/>
      <c r="R2" s="121"/>
      <c r="S2" s="64"/>
      <c r="T2" s="64"/>
      <c r="U2" s="64"/>
      <c r="V2" s="64"/>
      <c r="W2" s="64"/>
      <c r="X2" s="64"/>
      <c r="Y2" s="64"/>
      <c r="Z2" s="64"/>
      <c r="AA2" s="64"/>
      <c r="AB2" s="64"/>
      <c r="AC2" s="64"/>
      <c r="AD2" s="64"/>
      <c r="AE2" s="64"/>
      <c r="AF2" s="64"/>
    </row>
    <row r="3" spans="1:32" ht="15.75">
      <c r="A3" s="538" t="s">
        <v>1010</v>
      </c>
      <c r="B3" s="12" t="s">
        <v>1012</v>
      </c>
      <c r="C3" s="64"/>
      <c r="D3" s="64"/>
      <c r="E3" s="64"/>
      <c r="F3" s="64"/>
      <c r="G3" s="64"/>
      <c r="H3" s="64"/>
      <c r="I3" s="64"/>
      <c r="J3" s="64"/>
      <c r="K3" s="64"/>
      <c r="L3" s="64"/>
      <c r="M3" s="64"/>
      <c r="N3" s="64"/>
      <c r="O3" s="64"/>
      <c r="P3" s="64"/>
      <c r="Q3" s="64"/>
      <c r="R3" s="64"/>
      <c r="S3" s="64"/>
      <c r="T3" s="64"/>
      <c r="U3" s="64"/>
      <c r="V3" s="64"/>
      <c r="W3" s="64"/>
      <c r="X3" s="64"/>
      <c r="Y3" s="64"/>
      <c r="Z3" s="64"/>
      <c r="AA3" s="64"/>
      <c r="AB3" s="64"/>
      <c r="AC3" s="64"/>
      <c r="AD3" s="64"/>
      <c r="AE3" s="64"/>
      <c r="AF3" s="64"/>
    </row>
    <row r="4" spans="1:32" ht="15.75">
      <c r="A4" s="538" t="s">
        <v>64</v>
      </c>
      <c r="B4" s="464">
        <v>0.1</v>
      </c>
      <c r="C4" s="64"/>
      <c r="D4" s="586">
        <f>IF(Input!F74=0,"Complete",CashFlow!F9)</f>
        <v>45200</v>
      </c>
      <c r="E4" s="587"/>
      <c r="F4" s="64"/>
      <c r="G4" s="64"/>
      <c r="H4" s="586">
        <f ca="1">IF(Input!J74=0,"Complete",CashFlow!F10)</f>
        <v>45613.4</v>
      </c>
      <c r="I4" s="587"/>
      <c r="J4" s="64"/>
      <c r="K4" s="588">
        <f ca="1">IF(Input!M74=0,"Complete",CashFlow!F11)</f>
        <v>45901.440000000002</v>
      </c>
      <c r="L4" s="589"/>
      <c r="M4" s="64"/>
      <c r="N4" s="588">
        <f ca="1">IF(Input!P74=0,"Complete",CashFlow!F13)</f>
        <v>46479</v>
      </c>
      <c r="O4" s="589"/>
      <c r="P4" s="64"/>
      <c r="Q4" s="593">
        <f>CashFlow!F14</f>
        <v>47177</v>
      </c>
      <c r="R4" s="593"/>
      <c r="S4" s="64"/>
      <c r="T4" s="64"/>
      <c r="U4" s="64"/>
      <c r="V4" s="64"/>
      <c r="W4" s="64"/>
      <c r="X4" s="64"/>
      <c r="Y4" s="64"/>
      <c r="Z4" s="64"/>
      <c r="AA4" s="64"/>
      <c r="AB4" s="64"/>
      <c r="AC4" s="64"/>
      <c r="AD4" s="64"/>
      <c r="AE4" s="64"/>
      <c r="AF4" s="64"/>
    </row>
    <row r="5" spans="1:32" ht="15.75">
      <c r="A5" s="538" t="s">
        <v>65</v>
      </c>
      <c r="B5" s="12" t="s">
        <v>581</v>
      </c>
      <c r="C5" s="64"/>
      <c r="D5" s="584" t="s">
        <v>67</v>
      </c>
      <c r="E5" s="585"/>
      <c r="F5" s="583">
        <f>IF(Input!F74=0,"",Input!B22)</f>
        <v>1</v>
      </c>
      <c r="G5" s="413"/>
      <c r="H5" s="584" t="s">
        <v>68</v>
      </c>
      <c r="I5" s="585"/>
      <c r="J5" s="583">
        <f ca="1">IF(Input!J74=0,"",Input!B23)</f>
        <v>1</v>
      </c>
      <c r="K5" s="584" t="s">
        <v>69</v>
      </c>
      <c r="L5" s="585"/>
      <c r="M5" s="583">
        <f ca="1">IF(Input!M74=0,"",Input!B24)</f>
        <v>1</v>
      </c>
      <c r="N5" s="584" t="s">
        <v>70</v>
      </c>
      <c r="O5" s="585"/>
      <c r="P5" s="583">
        <f ca="1">IF(Input!P74=0,"",Input!B25)</f>
        <v>1</v>
      </c>
      <c r="Q5" s="594" t="s">
        <v>71</v>
      </c>
      <c r="R5" s="594"/>
      <c r="S5" s="64"/>
      <c r="T5" s="64"/>
      <c r="U5" s="64"/>
      <c r="V5" s="64"/>
      <c r="W5" s="64"/>
      <c r="X5" s="64"/>
      <c r="Y5" s="64"/>
      <c r="Z5" s="64"/>
      <c r="AA5" s="64"/>
      <c r="AB5" s="64"/>
      <c r="AC5" s="64"/>
      <c r="AD5" s="64"/>
      <c r="AE5" s="64"/>
      <c r="AF5" s="64"/>
    </row>
    <row r="6" spans="1:32" ht="15.75">
      <c r="A6" s="539" t="s">
        <v>72</v>
      </c>
      <c r="B6" s="12" t="s">
        <v>965</v>
      </c>
      <c r="C6" s="64"/>
      <c r="D6" s="331" t="s">
        <v>1104</v>
      </c>
      <c r="E6" s="332" t="str">
        <f>D70</f>
        <v>Cost</v>
      </c>
      <c r="F6" s="583"/>
      <c r="G6" s="413"/>
      <c r="H6" s="331" t="s">
        <v>1104</v>
      </c>
      <c r="I6" s="332" t="str">
        <f>D70</f>
        <v>Cost</v>
      </c>
      <c r="J6" s="583"/>
      <c r="K6" s="331" t="s">
        <v>1104</v>
      </c>
      <c r="L6" s="332" t="str">
        <f>D70</f>
        <v>Cost</v>
      </c>
      <c r="M6" s="583"/>
      <c r="N6" s="331" t="s">
        <v>1104</v>
      </c>
      <c r="O6" s="332" t="s">
        <v>42</v>
      </c>
      <c r="P6" s="583"/>
      <c r="Q6" s="331" t="s">
        <v>1104</v>
      </c>
      <c r="R6" s="332" t="s">
        <v>42</v>
      </c>
      <c r="S6" s="64"/>
      <c r="T6" s="64"/>
      <c r="U6" s="64"/>
      <c r="V6" s="64"/>
      <c r="W6" s="64"/>
      <c r="X6" s="64"/>
      <c r="Y6" s="64"/>
      <c r="Z6" s="64"/>
      <c r="AA6" s="64"/>
      <c r="AB6" s="64"/>
      <c r="AC6" s="64"/>
      <c r="AD6" s="64"/>
      <c r="AE6" s="64"/>
      <c r="AF6" s="64"/>
    </row>
    <row r="7" spans="1:32" ht="15.75">
      <c r="A7" s="539" t="s">
        <v>73</v>
      </c>
      <c r="B7" s="71" t="s">
        <v>1108</v>
      </c>
      <c r="C7" s="64"/>
      <c r="D7" s="426">
        <f ca="1">-E7+F5*H7/H72</f>
        <v>4556.0314420242894</v>
      </c>
      <c r="E7" s="333">
        <f ca="1">-(CashFlow!D9+'Deposit Recovery'!AA15*B8)*Input!D72</f>
        <v>14.958808080000072</v>
      </c>
      <c r="F7" s="64"/>
      <c r="G7" s="64"/>
      <c r="H7" s="426">
        <f ca="1">-I7+J5*K7/Input!K72</f>
        <v>4570.9902501042898</v>
      </c>
      <c r="I7" s="333">
        <f ca="1">-(CashFlow!H10+'Deposit Recovery'!S15*B8)*Input!H73</f>
        <v>0</v>
      </c>
      <c r="J7" s="64"/>
      <c r="K7" s="426">
        <f ca="1">-L7+M5*N7/Input!N72</f>
        <v>4570.9902501042898</v>
      </c>
      <c r="L7" s="333">
        <f ca="1">-(CashFlow!H11+'Deposit Recovery'!T15*B8)*Input!K73*Exploration!AB19</f>
        <v>211.09843902954154</v>
      </c>
      <c r="M7" s="64"/>
      <c r="N7" s="426">
        <f ca="1">-O7+P5*Q7/Input!Q72</f>
        <v>4782.0886891338314</v>
      </c>
      <c r="O7" s="333">
        <f ca="1">-CashFlow!H13*Input!N73</f>
        <v>14.324155938444957</v>
      </c>
      <c r="P7" s="64"/>
      <c r="Q7" s="426">
        <f ca="1">SUM(CashFlow!H8,CashFlow!H14:H20)*Input!Q73</f>
        <v>4796.4128450722765</v>
      </c>
      <c r="R7" s="333">
        <f ca="1">(-CashFlow!H15-CashFlow!H14)*Input!Q73</f>
        <v>4822.1221836145432</v>
      </c>
      <c r="S7" s="64"/>
      <c r="T7" s="64"/>
      <c r="U7" s="64"/>
      <c r="V7" s="64"/>
      <c r="W7" s="64"/>
      <c r="X7" s="64"/>
      <c r="Y7" s="64"/>
      <c r="Z7" s="64"/>
      <c r="AA7" s="64"/>
      <c r="AB7" s="64"/>
      <c r="AC7" s="64"/>
      <c r="AD7" s="64"/>
      <c r="AE7" s="64"/>
      <c r="AF7" s="64"/>
    </row>
    <row r="8" spans="1:32" ht="15.75">
      <c r="A8" s="335" t="s">
        <v>1048</v>
      </c>
      <c r="B8" s="463">
        <v>1</v>
      </c>
      <c r="C8" s="64"/>
      <c r="D8" s="64"/>
      <c r="E8" s="64"/>
      <c r="F8" s="64"/>
      <c r="G8" s="64"/>
      <c r="H8" s="64"/>
      <c r="I8" s="64"/>
      <c r="J8" s="64"/>
      <c r="K8" s="64"/>
      <c r="L8" s="64"/>
      <c r="M8" s="64"/>
      <c r="N8" s="64"/>
      <c r="O8" s="64"/>
      <c r="P8" s="64"/>
      <c r="Q8" s="64"/>
      <c r="R8" s="64"/>
      <c r="S8" s="64"/>
      <c r="T8" s="64"/>
      <c r="U8" s="64"/>
      <c r="V8" s="64"/>
      <c r="W8" s="64"/>
      <c r="X8" s="64"/>
      <c r="Y8" s="64"/>
      <c r="Z8" s="64"/>
      <c r="AA8" s="64"/>
      <c r="AB8" s="64"/>
      <c r="AC8" s="64"/>
      <c r="AD8" s="64"/>
      <c r="AE8" s="64"/>
      <c r="AF8" s="64"/>
    </row>
    <row r="9" spans="1:32" ht="18.75">
      <c r="A9" s="590" t="s">
        <v>74</v>
      </c>
      <c r="B9" s="592"/>
      <c r="C9" s="64"/>
      <c r="D9" s="92" t="str">
        <f>B10&amp;" Summary Evaluation Parameters"</f>
        <v>Prospect X Summary Evaluation Parameters</v>
      </c>
      <c r="E9" s="335"/>
      <c r="F9" s="335"/>
      <c r="G9" s="335"/>
      <c r="H9" s="335"/>
      <c r="I9" s="335"/>
      <c r="J9" s="335"/>
      <c r="K9" s="92" t="str">
        <f>B10&amp;" Expected Value Waterfall Chart ($M)"</f>
        <v>Prospect X Expected Value Waterfall Chart ($M)</v>
      </c>
      <c r="L9" s="335"/>
      <c r="M9" s="335"/>
      <c r="N9" s="335"/>
      <c r="O9" s="335"/>
      <c r="P9" s="335"/>
      <c r="Q9" s="335"/>
      <c r="R9" s="335"/>
      <c r="S9" s="64"/>
      <c r="T9" s="64"/>
      <c r="U9" s="64"/>
      <c r="V9" s="64"/>
      <c r="W9" s="64"/>
      <c r="X9" s="64"/>
      <c r="Y9" s="64"/>
      <c r="Z9" s="64"/>
      <c r="AA9" s="64"/>
      <c r="AB9" s="64"/>
      <c r="AC9" s="64"/>
      <c r="AD9" s="64"/>
      <c r="AE9" s="64"/>
      <c r="AF9" s="64"/>
    </row>
    <row r="10" spans="1:32" ht="18.75">
      <c r="A10" s="538" t="s">
        <v>75</v>
      </c>
      <c r="B10" s="71" t="s">
        <v>76</v>
      </c>
      <c r="C10" s="64"/>
      <c r="D10" s="334"/>
      <c r="E10" s="335"/>
      <c r="F10" s="335"/>
      <c r="G10" s="335"/>
      <c r="H10" s="335"/>
      <c r="I10" s="335"/>
      <c r="J10" s="335"/>
      <c r="K10" s="335"/>
      <c r="L10" s="335"/>
      <c r="M10" s="335"/>
      <c r="N10" s="335"/>
      <c r="O10" s="335"/>
      <c r="P10" s="335"/>
      <c r="Q10" s="335"/>
      <c r="R10" s="335"/>
      <c r="S10" s="64"/>
      <c r="T10" s="64"/>
      <c r="U10" s="64"/>
      <c r="V10" s="64"/>
      <c r="W10" s="64"/>
      <c r="X10" s="64"/>
      <c r="Y10" s="64"/>
      <c r="Z10" s="64"/>
      <c r="AA10" s="64"/>
      <c r="AB10" s="64"/>
      <c r="AC10" s="64"/>
      <c r="AD10" s="64"/>
      <c r="AE10" s="64"/>
      <c r="AF10" s="64"/>
    </row>
    <row r="11" spans="1:32" ht="15.75">
      <c r="A11" s="538" t="s">
        <v>77</v>
      </c>
      <c r="B11" s="71" t="s">
        <v>78</v>
      </c>
      <c r="C11" s="64"/>
      <c r="D11" s="241" t="s">
        <v>760</v>
      </c>
      <c r="E11" s="239"/>
      <c r="F11" s="239"/>
      <c r="G11" s="239"/>
      <c r="H11" s="239"/>
      <c r="I11" s="244">
        <f ca="1">Exploration!C9</f>
        <v>1</v>
      </c>
      <c r="J11" s="64"/>
      <c r="K11" s="335"/>
      <c r="L11" s="335"/>
      <c r="M11" s="335"/>
      <c r="N11" s="335"/>
      <c r="O11" s="335"/>
      <c r="P11" s="335"/>
      <c r="Q11" s="335"/>
      <c r="R11" s="335"/>
      <c r="S11" s="335"/>
      <c r="T11" s="335"/>
      <c r="U11" s="84"/>
      <c r="V11" s="64"/>
      <c r="W11" s="64"/>
      <c r="X11" s="64"/>
      <c r="Y11" s="64"/>
      <c r="Z11" s="64"/>
      <c r="AA11" s="64"/>
      <c r="AB11" s="64"/>
      <c r="AC11" s="64"/>
      <c r="AD11" s="64"/>
      <c r="AE11" s="64"/>
      <c r="AF11" s="64"/>
    </row>
    <row r="12" spans="1:32" ht="15.75">
      <c r="A12" s="538" t="s">
        <v>79</v>
      </c>
      <c r="B12" s="74">
        <v>45200</v>
      </c>
      <c r="C12" s="65" t="b">
        <f>IF(OR(B11=Subsea,B11=Lists!O34),FALSE,OR(ISNA(MATCH(B12,Lists!A18:A21,0)),B12=""))</f>
        <v>1</v>
      </c>
      <c r="D12" s="241" t="s">
        <v>81</v>
      </c>
      <c r="E12" s="239"/>
      <c r="F12" s="239"/>
      <c r="G12" s="239"/>
      <c r="H12" s="239"/>
      <c r="I12" s="336">
        <f>prod_year</f>
        <v>47987</v>
      </c>
      <c r="J12" s="335"/>
      <c r="K12" s="335"/>
      <c r="L12" s="335"/>
      <c r="M12" s="335"/>
      <c r="N12" s="335"/>
      <c r="O12" s="335"/>
      <c r="P12" s="335"/>
      <c r="Q12" s="335"/>
      <c r="R12" s="335"/>
      <c r="S12" s="335"/>
      <c r="T12" s="335"/>
      <c r="U12" s="64"/>
      <c r="V12" s="64"/>
      <c r="W12" s="64"/>
      <c r="X12" s="64"/>
      <c r="Y12" s="64"/>
      <c r="Z12" s="64"/>
      <c r="AA12" s="64"/>
      <c r="AB12" s="64"/>
      <c r="AC12" s="64"/>
      <c r="AD12" s="64"/>
      <c r="AE12" s="64"/>
      <c r="AF12" s="64"/>
    </row>
    <row r="13" spans="1:32" ht="15.75">
      <c r="A13" s="538" t="s">
        <v>633</v>
      </c>
      <c r="B13" s="12" t="s">
        <v>635</v>
      </c>
      <c r="C13" s="1"/>
      <c r="D13" s="241" t="s">
        <v>83</v>
      </c>
      <c r="E13" s="239"/>
      <c r="F13" s="239"/>
      <c r="G13" s="239"/>
      <c r="H13" s="239"/>
      <c r="I13" s="337">
        <f>CashFlow!F20</f>
        <v>56674</v>
      </c>
      <c r="J13" s="335"/>
      <c r="K13" s="335"/>
      <c r="L13" s="335"/>
      <c r="M13" s="335"/>
      <c r="N13" s="335"/>
      <c r="O13" s="335"/>
      <c r="P13" s="335"/>
      <c r="Q13" s="335"/>
      <c r="R13" s="335"/>
      <c r="S13" s="335"/>
      <c r="T13" s="335"/>
      <c r="U13" s="64"/>
      <c r="V13" s="64"/>
      <c r="W13" s="64"/>
      <c r="X13" s="64"/>
      <c r="Y13" s="64"/>
      <c r="Z13" s="64"/>
      <c r="AA13" s="64"/>
      <c r="AB13" s="64"/>
      <c r="AC13" s="64"/>
      <c r="AD13" s="64"/>
      <c r="AE13" s="64"/>
      <c r="AF13" s="64"/>
    </row>
    <row r="14" spans="1:32" ht="15.75">
      <c r="A14" s="538" t="str">
        <f>"Mean Reserves ("&amp;IF(B13="Gas","bcf","mmbbl")&amp;")"</f>
        <v>Mean Reserves (mmbbl)</v>
      </c>
      <c r="B14" s="12">
        <v>290</v>
      </c>
      <c r="C14" s="65" t="b">
        <f>OR(AND(B13="Oil",B14&gt;1000),AND(B13="Gas",B14&gt;50000))</f>
        <v>0</v>
      </c>
      <c r="D14" s="241" t="s">
        <v>5</v>
      </c>
      <c r="E14" s="239"/>
      <c r="F14" s="239"/>
      <c r="G14" s="239"/>
      <c r="H14" s="239"/>
      <c r="I14" s="337">
        <f ca="1">IF(B5=Lists!A56,DATE(YEAR(NOW()),MONTH(NOW()),1),IF(B5=Lists!A57,DATE(YEAR(NOW()),1,1),B12))</f>
        <v>46023</v>
      </c>
      <c r="J14" s="335"/>
      <c r="K14" s="335"/>
      <c r="L14" s="335"/>
      <c r="M14" s="335"/>
      <c r="N14" s="335"/>
      <c r="O14" s="335"/>
      <c r="P14" s="335"/>
      <c r="Q14" s="335"/>
      <c r="R14" s="335"/>
      <c r="S14" s="335"/>
      <c r="T14" s="335"/>
      <c r="U14" s="64"/>
      <c r="V14" s="64"/>
      <c r="W14" s="64"/>
      <c r="X14" s="64"/>
      <c r="Y14" s="64"/>
      <c r="Z14" s="64"/>
      <c r="AA14" s="64"/>
      <c r="AB14" s="64"/>
      <c r="AC14" s="64"/>
      <c r="AD14" s="64"/>
      <c r="AE14" s="64"/>
      <c r="AF14" s="64"/>
    </row>
    <row r="15" spans="1:32" ht="18.75" customHeight="1">
      <c r="A15" s="538" t="s">
        <v>100</v>
      </c>
      <c r="B15" s="71">
        <v>3000</v>
      </c>
      <c r="C15" s="1"/>
      <c r="D15" s="338" t="s">
        <v>761</v>
      </c>
      <c r="E15" s="239"/>
      <c r="F15" s="239"/>
      <c r="G15" s="239"/>
      <c r="H15" s="239"/>
      <c r="I15" s="339"/>
      <c r="J15" s="335"/>
      <c r="K15" s="335"/>
      <c r="L15" s="335"/>
      <c r="M15" s="335"/>
      <c r="N15" s="335"/>
      <c r="O15" s="335"/>
      <c r="P15" s="335"/>
      <c r="Q15" s="335"/>
      <c r="R15" s="335"/>
      <c r="S15" s="335"/>
      <c r="T15" s="335"/>
      <c r="U15" s="64"/>
      <c r="V15" s="64"/>
      <c r="W15" s="64"/>
      <c r="X15" s="64"/>
      <c r="Y15" s="64"/>
      <c r="Z15" s="64"/>
      <c r="AA15" s="64"/>
      <c r="AB15" s="64"/>
      <c r="AC15" s="64"/>
      <c r="AD15" s="64"/>
      <c r="AE15" s="64"/>
      <c r="AF15" s="64"/>
    </row>
    <row r="16" spans="1:32" ht="18" customHeight="1">
      <c r="A16" s="538" t="s">
        <v>80</v>
      </c>
      <c r="B16" s="71" t="s">
        <v>832</v>
      </c>
      <c r="C16" s="65" t="b">
        <f ca="1">OR(ISNA(MATCH(Input!B16,Devellist,0)),B16="")</f>
        <v>0</v>
      </c>
      <c r="D16" s="241" t="str">
        <f>CashFlow!E6</f>
        <v>Associated Gas Revenue</v>
      </c>
      <c r="E16" s="239"/>
      <c r="F16" s="239"/>
      <c r="G16" s="239"/>
      <c r="H16" s="239"/>
      <c r="I16" s="340">
        <f ca="1">CashFlow!K6</f>
        <v>1671.5189173005642</v>
      </c>
      <c r="J16" s="335"/>
      <c r="K16" s="335"/>
      <c r="L16" s="335"/>
      <c r="M16" s="335"/>
      <c r="N16" s="335"/>
      <c r="O16" s="335"/>
      <c r="P16" s="335"/>
      <c r="Q16" s="335"/>
      <c r="R16" s="335"/>
      <c r="S16" s="335"/>
      <c r="T16" s="335"/>
      <c r="U16" s="64"/>
      <c r="V16" s="64"/>
      <c r="W16" s="64"/>
      <c r="X16" s="64"/>
      <c r="Y16" s="64"/>
      <c r="Z16" s="64"/>
      <c r="AA16" s="64"/>
      <c r="AB16" s="64"/>
      <c r="AC16" s="64"/>
      <c r="AD16" s="64"/>
      <c r="AE16" s="64"/>
      <c r="AF16" s="64"/>
    </row>
    <row r="17" spans="1:32" ht="15.75">
      <c r="A17" s="538" t="s">
        <v>839</v>
      </c>
      <c r="B17" s="71" t="s">
        <v>836</v>
      </c>
      <c r="C17" s="65" t="b">
        <f ca="1">OR(ISNA(MATCH(B17,Infralist,0)),B17="")</f>
        <v>0</v>
      </c>
      <c r="D17" s="241" t="str">
        <f>CashFlow!E7</f>
        <v>Oil Revenue</v>
      </c>
      <c r="E17" s="239"/>
      <c r="F17" s="239"/>
      <c r="G17" s="239"/>
      <c r="H17" s="239"/>
      <c r="I17" s="340">
        <f ca="1">CashFlow!K7</f>
        <v>16000.37882262297</v>
      </c>
      <c r="J17" s="335"/>
      <c r="K17" s="335"/>
      <c r="L17" s="335"/>
      <c r="M17" s="335"/>
      <c r="N17" s="335"/>
      <c r="O17" s="335"/>
      <c r="P17" s="335"/>
      <c r="Q17" s="335"/>
      <c r="R17" s="335"/>
      <c r="S17" s="335"/>
      <c r="T17" s="335"/>
      <c r="U17" s="64"/>
      <c r="V17" s="64"/>
      <c r="W17" s="64"/>
      <c r="X17" s="64"/>
      <c r="Y17" s="64"/>
      <c r="Z17" s="64"/>
      <c r="AA17" s="64"/>
      <c r="AB17" s="64"/>
      <c r="AC17" s="64"/>
      <c r="AD17" s="64"/>
      <c r="AE17" s="64"/>
      <c r="AF17" s="64"/>
    </row>
    <row r="18" spans="1:32" ht="18" customHeight="1">
      <c r="A18" s="540" t="s">
        <v>1034</v>
      </c>
      <c r="B18" s="71" t="s">
        <v>1036</v>
      </c>
      <c r="C18" s="65" t="b">
        <f ca="1">OR(ISNA(MATCH(Input!B18,OnPlant,0)),B18="")</f>
        <v>0</v>
      </c>
      <c r="D18" s="241" t="str">
        <f>CashFlow!E8</f>
        <v>Total Revenue</v>
      </c>
      <c r="E18" s="239"/>
      <c r="F18" s="239"/>
      <c r="G18" s="239"/>
      <c r="H18" s="239"/>
      <c r="I18" s="340">
        <f ca="1">I17+I16</f>
        <v>17671.897739923534</v>
      </c>
      <c r="J18" s="335"/>
      <c r="K18" s="335"/>
      <c r="L18" s="335"/>
      <c r="M18" s="335"/>
      <c r="N18" s="335"/>
      <c r="O18" s="335"/>
      <c r="P18" s="335"/>
      <c r="Q18" s="335"/>
      <c r="R18" s="335"/>
      <c r="S18" s="335"/>
      <c r="T18" s="335"/>
      <c r="U18" s="64"/>
      <c r="V18" s="64"/>
      <c r="W18" s="64"/>
      <c r="X18" s="64"/>
      <c r="Y18" s="64"/>
      <c r="Z18" s="64"/>
      <c r="AA18" s="64"/>
      <c r="AB18" s="64"/>
      <c r="AC18" s="64"/>
      <c r="AD18" s="64"/>
      <c r="AE18" s="64"/>
      <c r="AF18" s="64"/>
    </row>
    <row r="19" spans="1:32" ht="15.75">
      <c r="A19" s="538" t="s">
        <v>830</v>
      </c>
      <c r="B19" s="71">
        <v>250</v>
      </c>
      <c r="C19" s="65"/>
      <c r="D19" s="241" t="s">
        <v>1020</v>
      </c>
      <c r="E19" s="239"/>
      <c r="F19" s="239"/>
      <c r="G19" s="239"/>
      <c r="H19" s="239"/>
      <c r="I19" s="340">
        <f ca="1">CashFlow!K12</f>
        <v>0</v>
      </c>
      <c r="J19" s="335"/>
      <c r="K19" s="335"/>
      <c r="L19" s="335"/>
      <c r="M19" s="335"/>
      <c r="N19" s="335"/>
      <c r="O19" s="335"/>
      <c r="P19" s="335"/>
      <c r="Q19" s="335"/>
      <c r="R19" s="335"/>
      <c r="S19" s="335"/>
      <c r="T19" s="335"/>
      <c r="U19" s="64"/>
      <c r="V19" s="64"/>
      <c r="W19" s="64"/>
      <c r="X19" s="64"/>
      <c r="Y19" s="64"/>
      <c r="Z19" s="64"/>
      <c r="AA19" s="64"/>
      <c r="AB19" s="64"/>
      <c r="AC19" s="64"/>
      <c r="AD19" s="64"/>
      <c r="AE19" s="64"/>
      <c r="AF19" s="64"/>
    </row>
    <row r="20" spans="1:32" ht="15.75">
      <c r="A20" s="538" t="s">
        <v>840</v>
      </c>
      <c r="B20" s="78">
        <v>0.3</v>
      </c>
      <c r="C20" s="65"/>
      <c r="D20" s="241" t="str">
        <f>CashFlow!E9</f>
        <v>Seismic</v>
      </c>
      <c r="E20" s="239"/>
      <c r="F20" s="239"/>
      <c r="G20" s="239"/>
      <c r="H20" s="239"/>
      <c r="I20" s="340">
        <f ca="1">CashFlow!K9</f>
        <v>0</v>
      </c>
      <c r="J20" s="64"/>
      <c r="K20" s="335"/>
      <c r="L20" s="335"/>
      <c r="M20" s="335"/>
      <c r="N20" s="335"/>
      <c r="O20" s="335"/>
      <c r="P20" s="335"/>
      <c r="Q20" s="335"/>
      <c r="R20" s="335"/>
      <c r="S20" s="335"/>
      <c r="T20" s="335"/>
      <c r="U20" s="64"/>
      <c r="V20" s="64"/>
      <c r="W20" s="64"/>
      <c r="X20" s="64"/>
      <c r="Y20" s="64"/>
      <c r="Z20" s="64"/>
      <c r="AA20" s="64"/>
      <c r="AB20" s="64"/>
      <c r="AC20" s="64"/>
      <c r="AD20" s="64"/>
      <c r="AE20" s="64"/>
      <c r="AF20" s="64"/>
    </row>
    <row r="21" spans="1:32" ht="18.75">
      <c r="A21" s="590" t="s">
        <v>821</v>
      </c>
      <c r="B21" s="591"/>
      <c r="C21" s="65"/>
      <c r="D21" s="241" t="str">
        <f>CashFlow!E10</f>
        <v>Wildcat</v>
      </c>
      <c r="E21" s="239"/>
      <c r="F21" s="239"/>
      <c r="G21" s="239"/>
      <c r="H21" s="239"/>
      <c r="I21" s="340">
        <f ca="1">CashFlow!K10</f>
        <v>0</v>
      </c>
      <c r="J21" s="64"/>
      <c r="K21" s="335"/>
      <c r="L21" s="335"/>
      <c r="M21" s="335"/>
      <c r="N21" s="335"/>
      <c r="O21" s="335"/>
      <c r="P21" s="335"/>
      <c r="Q21" s="335"/>
      <c r="R21" s="335"/>
      <c r="S21" s="335"/>
      <c r="T21" s="335"/>
      <c r="U21" s="64"/>
      <c r="V21" s="64"/>
      <c r="W21" s="64"/>
      <c r="X21" s="64"/>
      <c r="Y21" s="64"/>
      <c r="Z21" s="64"/>
      <c r="AA21" s="64"/>
      <c r="AB21" s="64"/>
      <c r="AC21" s="64"/>
      <c r="AD21" s="64"/>
      <c r="AE21" s="64"/>
      <c r="AF21" s="64"/>
    </row>
    <row r="22" spans="1:32" ht="15.75">
      <c r="A22" s="538" t="s">
        <v>78</v>
      </c>
      <c r="B22" s="70">
        <v>1</v>
      </c>
      <c r="C22" s="65"/>
      <c r="D22" s="241" t="str">
        <f>CashFlow!E11</f>
        <v>Appraisal</v>
      </c>
      <c r="E22" s="239"/>
      <c r="F22" s="239"/>
      <c r="G22" s="239"/>
      <c r="H22" s="239"/>
      <c r="I22" s="340">
        <f ca="1">CashFlow!K11</f>
        <v>-211.09843902954154</v>
      </c>
      <c r="J22" s="64"/>
      <c r="K22" s="335"/>
      <c r="L22" s="335"/>
      <c r="M22" s="335"/>
      <c r="N22" s="335"/>
      <c r="O22" s="335"/>
      <c r="P22" s="335"/>
      <c r="Q22" s="335"/>
      <c r="R22" s="335"/>
      <c r="S22" s="335"/>
      <c r="T22" s="335"/>
      <c r="U22" s="64"/>
      <c r="V22" s="64"/>
      <c r="W22" s="64"/>
      <c r="X22" s="64"/>
      <c r="Y22" s="64"/>
      <c r="Z22" s="64"/>
      <c r="AA22" s="64"/>
      <c r="AB22" s="64"/>
      <c r="AC22" s="64"/>
      <c r="AD22" s="64"/>
      <c r="AE22" s="64"/>
      <c r="AF22" s="64"/>
    </row>
    <row r="23" spans="1:32" ht="15.75">
      <c r="A23" s="538" t="s">
        <v>86</v>
      </c>
      <c r="B23" s="70">
        <v>1</v>
      </c>
      <c r="C23" s="65"/>
      <c r="D23" s="241" t="str">
        <f>CashFlow!E13</f>
        <v>Development Planning</v>
      </c>
      <c r="E23" s="239"/>
      <c r="F23" s="239"/>
      <c r="G23" s="239"/>
      <c r="H23" s="239"/>
      <c r="I23" s="340">
        <f ca="1">CashFlow!K13</f>
        <v>-14.324155938444957</v>
      </c>
      <c r="J23" s="64"/>
      <c r="K23" s="335"/>
      <c r="L23" s="335"/>
      <c r="M23" s="335"/>
      <c r="N23" s="335"/>
      <c r="O23" s="335"/>
      <c r="P23" s="335"/>
      <c r="Q23" s="335"/>
      <c r="R23" s="335"/>
      <c r="S23" s="335"/>
      <c r="T23" s="335"/>
      <c r="U23" s="64"/>
      <c r="V23" s="64"/>
      <c r="W23" s="64"/>
      <c r="X23" s="64"/>
      <c r="Y23" s="64"/>
      <c r="Z23" s="64"/>
      <c r="AA23" s="64"/>
      <c r="AB23" s="64"/>
      <c r="AC23" s="64"/>
      <c r="AD23" s="64"/>
      <c r="AE23" s="64"/>
      <c r="AF23" s="64"/>
    </row>
    <row r="24" spans="1:32" ht="15.75">
      <c r="A24" s="538" t="s">
        <v>87</v>
      </c>
      <c r="B24" s="70">
        <v>1</v>
      </c>
      <c r="C24" s="65"/>
      <c r="D24" s="241" t="str">
        <f>CashFlow!E14</f>
        <v>Facilities &amp; Pipelines</v>
      </c>
      <c r="E24" s="239"/>
      <c r="F24" s="239"/>
      <c r="G24" s="239"/>
      <c r="H24" s="239"/>
      <c r="I24" s="340">
        <f ca="1">CashFlow!K14</f>
        <v>-3751.6725816285634</v>
      </c>
      <c r="J24" s="335"/>
      <c r="K24" s="335"/>
      <c r="L24" s="335"/>
      <c r="M24" s="335"/>
      <c r="N24" s="335"/>
      <c r="O24" s="335"/>
      <c r="P24" s="335"/>
      <c r="Q24" s="335"/>
      <c r="R24" s="335"/>
      <c r="S24" s="335"/>
      <c r="T24" s="335"/>
      <c r="U24" s="64"/>
      <c r="V24" s="64"/>
      <c r="W24" s="64"/>
      <c r="X24" s="64"/>
      <c r="Y24" s="64"/>
      <c r="Z24" s="64"/>
      <c r="AA24" s="64"/>
      <c r="AB24" s="64"/>
      <c r="AC24" s="64"/>
      <c r="AD24" s="64"/>
      <c r="AE24" s="64"/>
      <c r="AF24" s="64"/>
    </row>
    <row r="25" spans="1:32" ht="15.75">
      <c r="A25" s="538" t="s">
        <v>88</v>
      </c>
      <c r="B25" s="70">
        <v>1</v>
      </c>
      <c r="C25" s="65" t="b">
        <f>B27&lt;B15</f>
        <v>0</v>
      </c>
      <c r="D25" s="241" t="str">
        <f>CashFlow!E15</f>
        <v>Development Drilling</v>
      </c>
      <c r="E25" s="239"/>
      <c r="F25" s="239"/>
      <c r="G25" s="239"/>
      <c r="H25" s="239"/>
      <c r="I25" s="340">
        <f ca="1">CashFlow!K15</f>
        <v>-1070.4496019859803</v>
      </c>
      <c r="J25" s="335"/>
      <c r="K25" s="335"/>
      <c r="L25" s="335"/>
      <c r="M25" s="335"/>
      <c r="N25" s="335"/>
      <c r="O25" s="335"/>
      <c r="P25" s="335"/>
      <c r="Q25" s="335"/>
      <c r="R25" s="335"/>
      <c r="S25" s="335"/>
      <c r="T25" s="335"/>
      <c r="U25" s="64"/>
      <c r="V25" s="64"/>
      <c r="W25" s="64"/>
      <c r="X25" s="64"/>
      <c r="Y25" s="64"/>
      <c r="Z25" s="64"/>
      <c r="AA25" s="64"/>
      <c r="AB25" s="64"/>
      <c r="AC25" s="64"/>
      <c r="AD25" s="64"/>
      <c r="AE25" s="64"/>
      <c r="AF25" s="64"/>
    </row>
    <row r="26" spans="1:32" ht="18.75">
      <c r="A26" s="590" t="s">
        <v>89</v>
      </c>
      <c r="B26" s="592"/>
      <c r="C26" s="65"/>
      <c r="D26" s="241" t="str">
        <f>CashFlow!E16</f>
        <v>Operations</v>
      </c>
      <c r="E26" s="239"/>
      <c r="F26" s="239"/>
      <c r="G26" s="239"/>
      <c r="H26" s="239"/>
      <c r="I26" s="340">
        <f ca="1">CashFlow!K16</f>
        <v>-2462.9204080226941</v>
      </c>
      <c r="J26" s="64"/>
      <c r="K26" s="335"/>
      <c r="L26" s="335"/>
      <c r="M26" s="335"/>
      <c r="N26" s="335"/>
      <c r="O26" s="335"/>
      <c r="P26" s="335"/>
      <c r="Q26" s="335"/>
      <c r="R26" s="335"/>
      <c r="S26" s="335"/>
      <c r="T26" s="335"/>
      <c r="U26" s="64"/>
      <c r="V26" s="64"/>
      <c r="W26" s="64"/>
      <c r="X26" s="64"/>
      <c r="Y26" s="64"/>
      <c r="Z26" s="64"/>
      <c r="AA26" s="64"/>
      <c r="AB26" s="64"/>
      <c r="AC26" s="64"/>
      <c r="AD26" s="64"/>
      <c r="AE26" s="64"/>
      <c r="AF26" s="64"/>
    </row>
    <row r="27" spans="1:32" ht="15.75">
      <c r="A27" s="538" t="s">
        <v>90</v>
      </c>
      <c r="B27" s="12">
        <v>5000</v>
      </c>
      <c r="C27" s="65"/>
      <c r="D27" s="241" t="str">
        <f>CashFlow!E17</f>
        <v>Royalty</v>
      </c>
      <c r="E27" s="239"/>
      <c r="F27" s="239"/>
      <c r="G27" s="239"/>
      <c r="H27" s="239"/>
      <c r="I27" s="340">
        <f ca="1">CashFlow!K17</f>
        <v>-3057.7036654114922</v>
      </c>
      <c r="J27" s="64"/>
      <c r="K27" s="335"/>
      <c r="L27" s="335"/>
      <c r="M27" s="335"/>
      <c r="N27" s="335"/>
      <c r="O27" s="335"/>
      <c r="P27" s="335"/>
      <c r="Q27" s="335"/>
      <c r="R27" s="335"/>
      <c r="S27" s="335"/>
      <c r="T27" s="335"/>
      <c r="U27" s="64"/>
      <c r="V27" s="64"/>
      <c r="W27" s="64"/>
      <c r="X27" s="64"/>
      <c r="Y27" s="64"/>
      <c r="Z27" s="64"/>
      <c r="AA27" s="64"/>
      <c r="AB27" s="64"/>
      <c r="AC27" s="64"/>
      <c r="AD27" s="64"/>
      <c r="AE27" s="64"/>
      <c r="AF27" s="64"/>
    </row>
    <row r="28" spans="1:32" ht="15.75">
      <c r="A28" s="538" t="s">
        <v>91</v>
      </c>
      <c r="B28" s="71" t="s">
        <v>115</v>
      </c>
      <c r="C28" s="65"/>
      <c r="D28" s="241" t="str">
        <f>CashFlow!E18</f>
        <v>Provincial Income Tax</v>
      </c>
      <c r="E28" s="239"/>
      <c r="F28" s="239"/>
      <c r="G28" s="239"/>
      <c r="H28" s="239"/>
      <c r="I28" s="340">
        <f ca="1">CashFlow!K18</f>
        <v>-1175.9147083451385</v>
      </c>
      <c r="J28" s="64"/>
      <c r="K28" s="64"/>
      <c r="L28" s="64"/>
      <c r="M28" s="64"/>
      <c r="N28" s="64"/>
      <c r="O28" s="64"/>
      <c r="P28" s="64"/>
      <c r="Q28" s="64"/>
      <c r="R28" s="64"/>
      <c r="S28" s="64"/>
      <c r="T28" s="64"/>
      <c r="U28" s="64"/>
      <c r="V28" s="64"/>
      <c r="W28" s="64"/>
      <c r="X28" s="64"/>
      <c r="Y28" s="64"/>
      <c r="Z28" s="64"/>
      <c r="AA28" s="64"/>
      <c r="AB28" s="64"/>
      <c r="AC28" s="64"/>
      <c r="AD28" s="64"/>
      <c r="AE28" s="64"/>
      <c r="AF28" s="64"/>
    </row>
    <row r="29" spans="1:32" ht="15.75">
      <c r="A29" s="538" t="s">
        <v>93</v>
      </c>
      <c r="B29" s="71" t="s">
        <v>92</v>
      </c>
      <c r="C29" s="65" t="b">
        <f>IF(B13="Gas",IF(B32&gt;100,"TRUE","FALSE""),""FALSE"))</f>
        <v>0</v>
      </c>
      <c r="D29" s="241" t="str">
        <f>CashFlow!E19</f>
        <v>Federal Income Tax</v>
      </c>
      <c r="E29" s="239"/>
      <c r="F29" s="239"/>
      <c r="G29" s="239"/>
      <c r="H29" s="239"/>
      <c r="I29" s="340">
        <f ca="1">CashFlow!K19</f>
        <v>-1324.9900984331935</v>
      </c>
      <c r="J29" s="64"/>
      <c r="K29" s="64"/>
      <c r="L29" s="64"/>
      <c r="M29" s="64"/>
      <c r="N29" s="64"/>
      <c r="O29" s="64"/>
      <c r="P29" s="64"/>
      <c r="Q29" s="64"/>
      <c r="R29" s="64"/>
      <c r="S29" s="64"/>
      <c r="T29" s="64"/>
      <c r="U29" s="64"/>
      <c r="V29" s="64"/>
      <c r="W29" s="64"/>
      <c r="X29" s="64"/>
      <c r="Y29" s="64"/>
      <c r="Z29" s="64"/>
      <c r="AA29" s="64"/>
      <c r="AB29" s="64"/>
      <c r="AC29" s="64"/>
      <c r="AD29" s="64"/>
      <c r="AE29" s="64"/>
      <c r="AF29" s="64"/>
    </row>
    <row r="30" spans="1:32" ht="15.75">
      <c r="A30" s="538" t="s">
        <v>94</v>
      </c>
      <c r="B30" s="71" t="s">
        <v>95</v>
      </c>
      <c r="C30" s="65">
        <f>IF(B13="Gas",100,100000)</f>
        <v>100000</v>
      </c>
      <c r="D30" s="241" t="str">
        <f>CashFlow!E20</f>
        <v>Abandonment</v>
      </c>
      <c r="E30" s="239"/>
      <c r="F30" s="239"/>
      <c r="G30" s="239"/>
      <c r="H30" s="239"/>
      <c r="I30" s="340">
        <f ca="1">CashFlow!K20</f>
        <v>-31.833831024195501</v>
      </c>
      <c r="J30" s="64"/>
      <c r="K30" s="64"/>
      <c r="L30" s="64"/>
      <c r="M30" s="64"/>
      <c r="N30" s="64"/>
      <c r="O30" s="64"/>
      <c r="P30" s="64"/>
      <c r="Q30" s="64"/>
      <c r="R30" s="64"/>
      <c r="S30" s="64"/>
      <c r="T30" s="64"/>
      <c r="U30" s="64"/>
      <c r="V30" s="64"/>
      <c r="W30" s="64"/>
      <c r="X30" s="64"/>
      <c r="Y30" s="64"/>
      <c r="Z30" s="64"/>
      <c r="AA30" s="64"/>
      <c r="AB30" s="64"/>
      <c r="AC30" s="64"/>
      <c r="AD30" s="64"/>
      <c r="AE30" s="64"/>
      <c r="AF30" s="64"/>
    </row>
    <row r="31" spans="1:32" ht="15.75">
      <c r="A31" s="538" t="s">
        <v>96</v>
      </c>
      <c r="B31" s="71">
        <v>1040</v>
      </c>
      <c r="C31" s="65"/>
      <c r="D31" s="241" t="str">
        <f>"Total "&amp;D70</f>
        <v>Total Cost</v>
      </c>
      <c r="E31" s="239"/>
      <c r="F31" s="239"/>
      <c r="G31" s="239"/>
      <c r="H31" s="239"/>
      <c r="I31" s="340">
        <f ca="1">SUM(I19:I30)</f>
        <v>-13100.907489819245</v>
      </c>
      <c r="J31" s="64"/>
      <c r="K31" s="64"/>
      <c r="L31" s="64"/>
      <c r="M31" s="64"/>
      <c r="N31" s="64"/>
      <c r="O31" s="64"/>
      <c r="P31" s="64"/>
      <c r="Q31" s="64"/>
      <c r="R31" s="64"/>
      <c r="S31" s="64"/>
      <c r="T31" s="64"/>
      <c r="U31" s="64"/>
      <c r="V31" s="64"/>
      <c r="W31" s="64"/>
      <c r="X31" s="64"/>
      <c r="Y31" s="64"/>
      <c r="Z31" s="64"/>
      <c r="AA31" s="64"/>
      <c r="AB31" s="64"/>
      <c r="AC31" s="64"/>
      <c r="AD31" s="64"/>
      <c r="AE31" s="64"/>
      <c r="AF31" s="64"/>
    </row>
    <row r="32" spans="1:32" ht="18.75">
      <c r="A32" s="538" t="str">
        <f>IF(B13="Gas","Liquid Yield (bbl/mcf)","GOR (scf/bbl)")</f>
        <v>GOR (scf/bbl)</v>
      </c>
      <c r="B32" s="71">
        <v>3333.3</v>
      </c>
      <c r="C32" s="65"/>
      <c r="D32" s="338" t="str">
        <f>"EMV @ "&amp;FIXED(Input!B4*100,1)&amp;" % ($M,"&amp;B3&amp;")"</f>
        <v>EMV @ 10.0 % ($M,Nominal)</v>
      </c>
      <c r="E32" s="341"/>
      <c r="F32" s="341"/>
      <c r="G32" s="341"/>
      <c r="H32" s="341"/>
      <c r="I32" s="342">
        <f ca="1">IF(C38=FALSE, "Invalid Entry",IF(noteco=Lists!A85,Lists!A85,CashFlow!K22))</f>
        <v>4570.9902501042889</v>
      </c>
      <c r="J32" s="64"/>
      <c r="K32" s="64"/>
      <c r="L32" s="64"/>
      <c r="M32" s="64"/>
      <c r="N32" s="64"/>
      <c r="O32" s="64"/>
      <c r="P32" s="64"/>
      <c r="Q32" s="64"/>
      <c r="R32" s="64"/>
      <c r="S32" s="64"/>
      <c r="T32" s="64"/>
      <c r="U32" s="64"/>
      <c r="V32" s="64"/>
      <c r="W32" s="64"/>
      <c r="X32" s="64"/>
      <c r="Y32" s="64"/>
      <c r="Z32" s="64"/>
      <c r="AA32" s="64"/>
      <c r="AB32" s="64"/>
      <c r="AC32" s="64"/>
      <c r="AD32" s="64"/>
      <c r="AE32" s="64"/>
      <c r="AF32" s="64"/>
    </row>
    <row r="33" spans="1:32" ht="15.75">
      <c r="A33" s="538" t="s">
        <v>98</v>
      </c>
      <c r="B33" s="71" t="s">
        <v>99</v>
      </c>
      <c r="C33" s="65"/>
      <c r="D33" s="241" t="s">
        <v>1014</v>
      </c>
      <c r="E33" s="239"/>
      <c r="F33" s="239"/>
      <c r="G33" s="239"/>
      <c r="H33" s="239"/>
      <c r="I33" s="343">
        <f ca="1">IF(I32=Lists!A85,"",IF(OR('Risked Cash Flow'!AK4&gt;1000,'Risked Cash Flow'!AK4&lt;-1000),NA(),'Risked Cash Flow'!AK4))</f>
        <v>0.29234760916498287</v>
      </c>
      <c r="J33" s="64"/>
      <c r="K33" s="64"/>
      <c r="L33" s="64"/>
      <c r="M33" s="64"/>
      <c r="N33" s="64"/>
      <c r="O33" s="64"/>
      <c r="P33" s="64"/>
      <c r="Q33" s="64"/>
      <c r="R33" s="64"/>
      <c r="S33" s="64"/>
      <c r="T33" s="64"/>
      <c r="U33" s="64"/>
      <c r="V33" s="64"/>
      <c r="W33" s="64"/>
      <c r="X33" s="64"/>
      <c r="Y33" s="64"/>
      <c r="Z33" s="64"/>
      <c r="AA33" s="64"/>
      <c r="AB33" s="64"/>
      <c r="AC33" s="64"/>
      <c r="AD33" s="64"/>
      <c r="AE33" s="64"/>
      <c r="AF33" s="64"/>
    </row>
    <row r="34" spans="1:32" ht="15.75">
      <c r="A34" s="538" t="s">
        <v>644</v>
      </c>
      <c r="B34" s="71" t="s">
        <v>106</v>
      </c>
      <c r="C34" s="65"/>
      <c r="D34" s="241" t="s">
        <v>107</v>
      </c>
      <c r="E34" s="239"/>
      <c r="F34" s="239"/>
      <c r="G34" s="239"/>
      <c r="H34" s="239"/>
      <c r="I34" s="344">
        <f ca="1">IF($I$32=Lists!A85,"",I32/'Risked Cash Flow'!AE8)</f>
        <v>0.90558686462766402</v>
      </c>
      <c r="J34" s="64"/>
      <c r="K34" s="64"/>
      <c r="L34" s="64"/>
      <c r="M34" s="64"/>
      <c r="N34" s="64"/>
      <c r="O34" s="64"/>
      <c r="P34" s="64"/>
      <c r="Q34" s="64"/>
      <c r="R34" s="64"/>
      <c r="S34" s="64"/>
      <c r="T34" s="64"/>
      <c r="U34" s="64"/>
      <c r="V34" s="64"/>
      <c r="W34" s="64"/>
      <c r="X34" s="64"/>
      <c r="Y34" s="64"/>
      <c r="Z34" s="64"/>
      <c r="AA34" s="64"/>
      <c r="AB34" s="64"/>
      <c r="AC34" s="64"/>
      <c r="AD34" s="64"/>
      <c r="AE34" s="64"/>
      <c r="AF34" s="64"/>
    </row>
    <row r="35" spans="1:32" ht="18.75">
      <c r="A35" s="590" t="s">
        <v>102</v>
      </c>
      <c r="B35" s="592"/>
      <c r="C35" s="65"/>
      <c r="D35" s="241" t="s">
        <v>755</v>
      </c>
      <c r="E35" s="239"/>
      <c r="F35" s="239"/>
      <c r="G35" s="239"/>
      <c r="H35" s="239"/>
      <c r="I35" s="344" t="str">
        <f ca="1">IF('Risked Cash Flow'!AD8=0,"NA",IF(I32=Lists!A85,"",I32/'Risked Cash Flow'!AD8))</f>
        <v>NA</v>
      </c>
      <c r="J35" s="64"/>
      <c r="K35" s="64"/>
      <c r="L35" s="64"/>
      <c r="M35" s="64"/>
      <c r="N35" s="64"/>
      <c r="O35" s="64"/>
      <c r="P35" s="64"/>
      <c r="Q35" s="64"/>
      <c r="R35" s="64"/>
      <c r="S35" s="64"/>
      <c r="T35" s="64"/>
      <c r="U35" s="64"/>
      <c r="V35" s="64"/>
      <c r="W35" s="64"/>
      <c r="X35" s="64"/>
      <c r="Y35" s="64"/>
      <c r="Z35" s="64"/>
      <c r="AA35" s="64"/>
      <c r="AB35" s="64"/>
      <c r="AC35" s="64"/>
      <c r="AD35" s="64"/>
      <c r="AE35" s="64"/>
      <c r="AF35" s="64"/>
    </row>
    <row r="36" spans="1:32" ht="15.75">
      <c r="A36" s="538" t="s">
        <v>103</v>
      </c>
      <c r="B36" s="71" t="s">
        <v>104</v>
      </c>
      <c r="C36" s="65"/>
      <c r="D36" s="64"/>
      <c r="E36" s="64"/>
      <c r="F36" s="64"/>
      <c r="G36" s="64"/>
      <c r="H36" s="64"/>
      <c r="I36" s="64"/>
      <c r="J36" s="64"/>
      <c r="K36" s="64"/>
      <c r="L36" s="64"/>
      <c r="M36" s="64"/>
      <c r="N36" s="64"/>
      <c r="O36" s="64"/>
      <c r="P36" s="64"/>
      <c r="Q36" s="64"/>
      <c r="R36" s="64"/>
      <c r="S36" s="64"/>
      <c r="T36" s="64"/>
      <c r="U36" s="64"/>
      <c r="V36" s="64"/>
      <c r="W36" s="64"/>
      <c r="X36" s="64"/>
      <c r="Y36" s="64"/>
      <c r="Z36" s="64"/>
      <c r="AA36" s="64"/>
      <c r="AB36" s="64"/>
      <c r="AC36" s="64"/>
      <c r="AD36" s="64"/>
      <c r="AE36" s="64"/>
      <c r="AF36" s="64"/>
    </row>
    <row r="37" spans="1:32" ht="15.75">
      <c r="A37" s="538" t="s">
        <v>105</v>
      </c>
      <c r="B37" s="71" t="s">
        <v>104</v>
      </c>
      <c r="C37" s="65"/>
      <c r="D37" s="64"/>
      <c r="E37" s="64"/>
      <c r="F37" s="64"/>
      <c r="G37" s="64"/>
      <c r="H37" s="64"/>
      <c r="I37" s="64"/>
      <c r="J37" s="64"/>
      <c r="K37" s="64"/>
      <c r="L37" s="64"/>
      <c r="M37" s="64"/>
      <c r="N37" s="64"/>
      <c r="O37" s="64"/>
      <c r="P37" s="64"/>
      <c r="Q37" s="64"/>
      <c r="R37" s="64"/>
      <c r="S37" s="64"/>
      <c r="T37" s="64"/>
      <c r="U37" s="64"/>
      <c r="V37" s="64"/>
      <c r="W37" s="64"/>
      <c r="X37" s="64"/>
      <c r="Y37" s="64"/>
      <c r="Z37" s="64"/>
      <c r="AA37" s="64"/>
      <c r="AB37" s="64"/>
      <c r="AC37" s="64"/>
      <c r="AD37" s="64"/>
      <c r="AE37" s="64"/>
      <c r="AF37" s="64"/>
    </row>
    <row r="38" spans="1:32" ht="15.75">
      <c r="A38" s="538" t="s">
        <v>108</v>
      </c>
      <c r="B38" s="71" t="s">
        <v>104</v>
      </c>
      <c r="C38" s="65" t="b">
        <f ca="1">AND(C14=FALSE,C17=FALSE,C16=FALSE,C18=FALSE,C25=FALSE)</f>
        <v>1</v>
      </c>
      <c r="D38" s="64"/>
      <c r="E38" s="64"/>
      <c r="F38" s="64"/>
      <c r="G38" s="64"/>
      <c r="H38" s="64"/>
      <c r="I38" s="64"/>
      <c r="J38" s="64"/>
      <c r="K38" s="64"/>
      <c r="L38" s="64"/>
      <c r="M38" s="64"/>
      <c r="N38" s="64"/>
      <c r="O38" s="64"/>
      <c r="P38" s="64"/>
      <c r="Q38" s="64"/>
      <c r="R38" s="64"/>
      <c r="S38" s="64"/>
      <c r="T38" s="64"/>
      <c r="U38" s="64"/>
      <c r="V38" s="64"/>
      <c r="W38" s="64"/>
      <c r="X38" s="64"/>
      <c r="Y38" s="64"/>
      <c r="Z38" s="64"/>
      <c r="AA38" s="64"/>
      <c r="AB38" s="64"/>
      <c r="AC38" s="64"/>
      <c r="AD38" s="64"/>
      <c r="AE38" s="64"/>
      <c r="AF38" s="64"/>
    </row>
    <row r="39" spans="1:32" ht="18.75">
      <c r="A39" s="496" t="str">
        <f>IF(Lists!$P$54=0,"","Overriden Values / Included")</f>
        <v/>
      </c>
      <c r="B39" s="459"/>
      <c r="C39" s="64"/>
      <c r="D39" s="64"/>
      <c r="E39" s="64"/>
      <c r="F39" s="64"/>
      <c r="G39" s="64"/>
      <c r="H39" s="64"/>
      <c r="I39" s="425"/>
      <c r="J39" s="64"/>
      <c r="K39" s="64"/>
      <c r="L39" s="425"/>
      <c r="M39" s="64"/>
      <c r="N39" s="64"/>
      <c r="O39" s="64"/>
      <c r="P39" s="64"/>
      <c r="Q39" s="64"/>
      <c r="R39" s="64"/>
      <c r="S39" s="64"/>
      <c r="T39" s="64"/>
      <c r="U39" s="64"/>
      <c r="V39" s="64"/>
      <c r="W39" s="64"/>
      <c r="X39" s="64"/>
      <c r="Y39" s="64"/>
      <c r="Z39" s="64"/>
      <c r="AA39" s="64"/>
      <c r="AB39" s="64"/>
      <c r="AC39" s="64"/>
      <c r="AD39" s="64"/>
      <c r="AE39" s="64"/>
      <c r="AF39" s="64"/>
    </row>
    <row r="40" spans="1:32">
      <c r="A40" s="85" t="str">
        <f>Lists!S46</f>
        <v/>
      </c>
      <c r="B40" s="455" t="str">
        <f>Lists!T46</f>
        <v/>
      </c>
      <c r="C40" s="64"/>
      <c r="D40" s="64"/>
      <c r="E40" s="64"/>
      <c r="F40" s="64"/>
      <c r="G40" s="64"/>
      <c r="H40" s="64"/>
      <c r="I40" s="64"/>
      <c r="J40" s="64"/>
      <c r="K40" s="64"/>
      <c r="L40" s="64"/>
      <c r="M40" s="64"/>
      <c r="N40" s="64"/>
      <c r="O40" s="64"/>
      <c r="P40" s="64"/>
      <c r="Q40" s="64"/>
      <c r="R40" s="64"/>
      <c r="S40" s="64"/>
      <c r="T40" s="64"/>
      <c r="U40" s="64"/>
      <c r="V40" s="64"/>
      <c r="W40" s="64"/>
      <c r="X40" s="64"/>
      <c r="Y40" s="64"/>
      <c r="Z40" s="64"/>
      <c r="AA40" s="64"/>
      <c r="AB40" s="64"/>
      <c r="AC40" s="64"/>
      <c r="AD40" s="64"/>
      <c r="AE40" s="64"/>
      <c r="AF40" s="64"/>
    </row>
    <row r="41" spans="1:32">
      <c r="A41" s="85" t="str">
        <f>Lists!S47</f>
        <v/>
      </c>
      <c r="B41" s="455" t="str">
        <f>Lists!T47</f>
        <v/>
      </c>
      <c r="C41" s="64"/>
      <c r="D41" s="64"/>
      <c r="E41" s="64"/>
      <c r="F41" s="64"/>
      <c r="G41" s="64"/>
      <c r="H41" s="64"/>
      <c r="I41" s="64"/>
      <c r="J41" s="64"/>
      <c r="K41" s="64"/>
      <c r="L41" s="64"/>
      <c r="M41" s="64"/>
      <c r="N41" s="64"/>
      <c r="O41" s="64"/>
      <c r="P41" s="64"/>
      <c r="Q41" s="64"/>
      <c r="R41" s="64"/>
      <c r="S41" s="64"/>
      <c r="T41" s="64"/>
      <c r="U41" s="64"/>
      <c r="V41" s="64"/>
      <c r="W41" s="64"/>
      <c r="X41" s="64"/>
      <c r="Y41" s="64"/>
      <c r="Z41" s="64"/>
      <c r="AA41" s="64"/>
      <c r="AB41" s="64"/>
      <c r="AC41" s="64"/>
      <c r="AD41" s="64"/>
      <c r="AE41" s="64"/>
      <c r="AF41" s="64"/>
    </row>
    <row r="42" spans="1:32">
      <c r="A42" s="85" t="str">
        <f>Lists!S48</f>
        <v/>
      </c>
      <c r="B42" s="455" t="str">
        <f>Lists!T48</f>
        <v/>
      </c>
      <c r="C42" s="64"/>
      <c r="D42" s="64"/>
      <c r="E42" s="64"/>
      <c r="F42" s="64"/>
      <c r="G42" s="64"/>
      <c r="H42" s="64"/>
      <c r="I42" s="64"/>
      <c r="J42" s="64"/>
      <c r="K42" s="64"/>
      <c r="L42" s="64"/>
      <c r="M42" s="64"/>
      <c r="N42" s="64"/>
      <c r="O42" s="64"/>
      <c r="P42" s="64"/>
      <c r="Q42" s="64"/>
      <c r="R42" s="64"/>
      <c r="S42" s="64"/>
      <c r="T42" s="64"/>
      <c r="U42" s="64"/>
      <c r="V42" s="64"/>
      <c r="W42" s="64"/>
      <c r="X42" s="64"/>
      <c r="Y42" s="64"/>
      <c r="Z42" s="64"/>
      <c r="AA42" s="64"/>
      <c r="AB42" s="64"/>
      <c r="AC42" s="64"/>
      <c r="AD42" s="64"/>
      <c r="AE42" s="64"/>
      <c r="AF42" s="64"/>
    </row>
    <row r="43" spans="1:32">
      <c r="A43" s="85" t="str">
        <f>Lists!S49</f>
        <v/>
      </c>
      <c r="B43" s="455" t="str">
        <f>Lists!T49</f>
        <v/>
      </c>
      <c r="C43" s="64"/>
      <c r="D43" s="64"/>
      <c r="E43" s="64"/>
      <c r="F43" s="64"/>
      <c r="G43" s="64"/>
      <c r="H43" s="64"/>
      <c r="I43" s="64"/>
      <c r="J43" s="64"/>
      <c r="K43" s="64"/>
      <c r="L43" s="64"/>
      <c r="M43" s="64"/>
      <c r="N43" s="64"/>
      <c r="O43" s="64"/>
      <c r="P43" s="64"/>
      <c r="Q43" s="64"/>
      <c r="R43" s="64"/>
      <c r="S43" s="64"/>
      <c r="T43" s="64"/>
      <c r="U43" s="64"/>
      <c r="V43" s="64"/>
      <c r="W43" s="64"/>
      <c r="X43" s="64"/>
      <c r="Y43" s="64"/>
      <c r="Z43" s="64"/>
      <c r="AA43" s="64"/>
      <c r="AB43" s="64"/>
      <c r="AC43" s="64"/>
      <c r="AD43" s="64"/>
      <c r="AE43" s="64"/>
      <c r="AF43" s="64"/>
    </row>
    <row r="44" spans="1:32">
      <c r="A44" s="85" t="str">
        <f>Lists!S50</f>
        <v/>
      </c>
      <c r="B44" s="455" t="str">
        <f>Lists!T50</f>
        <v/>
      </c>
      <c r="C44" s="64"/>
      <c r="D44" s="64"/>
      <c r="E44" s="64"/>
      <c r="F44" s="64"/>
      <c r="G44" s="64"/>
      <c r="H44" s="64"/>
      <c r="I44" s="64"/>
      <c r="J44" s="64"/>
      <c r="K44" s="64"/>
      <c r="L44" s="64"/>
      <c r="M44" s="64"/>
      <c r="N44" s="64"/>
      <c r="O44" s="64"/>
      <c r="P44" s="64"/>
      <c r="Q44" s="64"/>
      <c r="R44" s="64"/>
      <c r="S44" s="64"/>
      <c r="T44" s="64"/>
      <c r="U44" s="64"/>
      <c r="V44" s="64"/>
      <c r="W44" s="64"/>
      <c r="X44" s="64"/>
      <c r="Y44" s="64"/>
      <c r="Z44" s="64"/>
      <c r="AA44" s="64"/>
      <c r="AB44" s="64"/>
      <c r="AC44" s="64"/>
      <c r="AD44" s="64"/>
      <c r="AE44" s="64"/>
      <c r="AF44" s="64"/>
    </row>
    <row r="45" spans="1:32">
      <c r="A45" s="85" t="str">
        <f>Lists!S51</f>
        <v/>
      </c>
      <c r="B45" s="455" t="str">
        <f>Lists!T51</f>
        <v/>
      </c>
      <c r="C45" s="64"/>
      <c r="D45" s="64"/>
      <c r="E45" s="64"/>
      <c r="F45" s="64"/>
      <c r="G45" s="64"/>
      <c r="H45" s="64"/>
      <c r="I45" s="64"/>
      <c r="J45" s="64"/>
      <c r="K45" s="64"/>
      <c r="L45" s="64"/>
      <c r="M45" s="64"/>
      <c r="N45" s="64"/>
      <c r="O45" s="64"/>
      <c r="P45" s="64"/>
      <c r="Q45" s="64"/>
      <c r="R45" s="64"/>
      <c r="S45" s="64"/>
      <c r="T45" s="64"/>
      <c r="U45" s="64"/>
      <c r="V45" s="64"/>
      <c r="W45" s="64"/>
      <c r="X45" s="64"/>
      <c r="Y45" s="64"/>
      <c r="Z45" s="64"/>
      <c r="AA45" s="64"/>
      <c r="AB45" s="64"/>
      <c r="AC45" s="64"/>
      <c r="AD45" s="64"/>
      <c r="AE45" s="64"/>
      <c r="AF45" s="64"/>
    </row>
    <row r="46" spans="1:32">
      <c r="A46" s="85" t="str">
        <f>Lists!S52</f>
        <v/>
      </c>
      <c r="B46" s="455" t="str">
        <f>Lists!T52</f>
        <v/>
      </c>
      <c r="C46" s="64"/>
      <c r="D46" s="64"/>
      <c r="E46" s="64"/>
      <c r="F46" s="64"/>
      <c r="G46" s="64"/>
      <c r="H46" s="64"/>
      <c r="I46" s="64"/>
      <c r="J46" s="64"/>
      <c r="K46" s="64"/>
      <c r="L46" s="64"/>
      <c r="M46" s="64"/>
      <c r="N46" s="64"/>
      <c r="O46" s="64"/>
      <c r="P46" s="64"/>
      <c r="Q46" s="64"/>
      <c r="R46" s="64"/>
      <c r="S46" s="64"/>
      <c r="T46" s="64"/>
      <c r="U46" s="64"/>
      <c r="V46" s="64"/>
      <c r="W46" s="64"/>
      <c r="X46" s="64"/>
      <c r="Y46" s="64"/>
      <c r="Z46" s="64"/>
      <c r="AA46" s="64"/>
      <c r="AB46" s="64"/>
      <c r="AC46" s="64"/>
      <c r="AD46" s="64"/>
      <c r="AE46" s="64"/>
      <c r="AF46" s="64"/>
    </row>
    <row r="47" spans="1:32">
      <c r="A47" s="85" t="str">
        <f>Lists!S53</f>
        <v/>
      </c>
      <c r="B47" s="455" t="str">
        <f>Lists!T53</f>
        <v/>
      </c>
      <c r="C47" s="64"/>
      <c r="D47" s="64"/>
      <c r="E47" s="64"/>
      <c r="F47" s="64"/>
      <c r="G47" s="64"/>
      <c r="H47" s="64"/>
      <c r="I47" s="64"/>
      <c r="J47" s="64"/>
      <c r="K47" s="64"/>
      <c r="L47" s="64"/>
      <c r="M47" s="64"/>
      <c r="N47" s="64"/>
      <c r="O47" s="64"/>
      <c r="P47" s="64"/>
      <c r="Q47" s="64"/>
      <c r="R47" s="64"/>
      <c r="S47" s="64"/>
      <c r="T47" s="64"/>
      <c r="U47" s="64"/>
      <c r="V47" s="64"/>
      <c r="W47" s="64"/>
      <c r="X47" s="64"/>
      <c r="Y47" s="64"/>
      <c r="Z47" s="64"/>
      <c r="AA47" s="64"/>
      <c r="AB47" s="64"/>
      <c r="AC47" s="64"/>
      <c r="AD47" s="64"/>
      <c r="AE47" s="64"/>
      <c r="AF47" s="64"/>
    </row>
    <row r="48" spans="1:32">
      <c r="A48" s="1"/>
      <c r="B48" s="1"/>
      <c r="C48" s="64"/>
      <c r="D48" s="64"/>
      <c r="E48" s="64"/>
      <c r="F48" s="64"/>
      <c r="G48" s="64"/>
      <c r="H48" s="64"/>
      <c r="I48" s="64"/>
      <c r="J48" s="64"/>
      <c r="K48" s="64"/>
      <c r="L48" s="64"/>
      <c r="M48" s="64"/>
      <c r="N48" s="64"/>
      <c r="O48" s="64"/>
      <c r="P48" s="64"/>
      <c r="Q48" s="64"/>
      <c r="R48" s="64"/>
      <c r="S48" s="64"/>
      <c r="T48" s="64"/>
      <c r="U48" s="64"/>
      <c r="V48" s="64"/>
      <c r="W48" s="64"/>
      <c r="X48" s="64"/>
      <c r="Y48" s="64"/>
      <c r="Z48" s="64"/>
      <c r="AA48" s="64"/>
      <c r="AB48" s="64"/>
      <c r="AC48" s="64"/>
      <c r="AD48" s="64"/>
      <c r="AE48" s="64"/>
      <c r="AF48" s="64"/>
    </row>
    <row r="49" spans="1:32">
      <c r="A49" s="1"/>
      <c r="B49" s="1"/>
      <c r="C49" s="64"/>
      <c r="D49" s="64"/>
      <c r="E49" s="64"/>
      <c r="F49" s="64"/>
      <c r="G49" s="64"/>
      <c r="H49" s="64"/>
      <c r="I49" s="64"/>
      <c r="J49" s="64"/>
      <c r="K49" s="64"/>
      <c r="L49" s="64"/>
      <c r="M49" s="64"/>
      <c r="N49" s="64"/>
      <c r="O49" s="64"/>
      <c r="P49" s="64"/>
      <c r="Q49" s="64"/>
      <c r="R49" s="64"/>
      <c r="S49" s="64"/>
      <c r="T49" s="64"/>
      <c r="U49" s="64"/>
      <c r="V49" s="64"/>
      <c r="W49" s="64"/>
      <c r="X49" s="64"/>
      <c r="Y49" s="64"/>
      <c r="Z49" s="64"/>
      <c r="AA49" s="64"/>
      <c r="AB49" s="64"/>
      <c r="AC49" s="64"/>
      <c r="AD49" s="64"/>
      <c r="AE49" s="64"/>
      <c r="AF49" s="64"/>
    </row>
    <row r="50" spans="1:32">
      <c r="A50" s="1"/>
      <c r="B50" s="1"/>
      <c r="C50" s="64"/>
      <c r="D50" s="64"/>
      <c r="E50" s="64"/>
      <c r="F50" s="64"/>
      <c r="G50" s="64"/>
      <c r="H50" s="64"/>
      <c r="I50" s="64"/>
      <c r="J50" s="64"/>
      <c r="K50" s="64"/>
      <c r="L50" s="64"/>
      <c r="M50" s="64"/>
      <c r="N50" s="64"/>
      <c r="O50" s="64"/>
      <c r="P50" s="64"/>
      <c r="Q50" s="64"/>
      <c r="R50" s="64"/>
      <c r="S50" s="64"/>
      <c r="T50" s="64"/>
      <c r="U50" s="64"/>
      <c r="V50" s="64"/>
      <c r="W50" s="64"/>
      <c r="X50" s="64"/>
      <c r="Y50" s="64"/>
      <c r="Z50" s="64"/>
      <c r="AA50" s="64"/>
      <c r="AB50" s="64"/>
      <c r="AC50" s="64"/>
      <c r="AD50" s="64"/>
      <c r="AE50" s="64"/>
      <c r="AF50" s="64"/>
    </row>
    <row r="51" spans="1:32">
      <c r="A51" s="1"/>
      <c r="B51" s="1"/>
      <c r="C51" s="64"/>
      <c r="D51" s="64"/>
      <c r="E51" s="64"/>
      <c r="F51" s="64"/>
      <c r="G51" s="64"/>
      <c r="H51" s="64"/>
      <c r="I51" s="64"/>
      <c r="J51" s="64"/>
      <c r="K51" s="64"/>
      <c r="L51" s="64"/>
      <c r="M51" s="64"/>
      <c r="N51" s="64"/>
      <c r="O51" s="64"/>
      <c r="P51" s="64"/>
      <c r="Q51" s="64"/>
      <c r="R51" s="64"/>
      <c r="S51" s="64"/>
      <c r="T51" s="64"/>
      <c r="U51" s="64"/>
      <c r="V51" s="64"/>
      <c r="W51" s="64"/>
      <c r="X51" s="64"/>
      <c r="Y51" s="64"/>
      <c r="Z51" s="64"/>
      <c r="AA51" s="64"/>
      <c r="AB51" s="64"/>
      <c r="AC51" s="64"/>
      <c r="AD51" s="64"/>
      <c r="AE51" s="64"/>
      <c r="AF51" s="64"/>
    </row>
    <row r="52" spans="1:32">
      <c r="A52" s="1"/>
      <c r="B52" s="1"/>
      <c r="C52" s="64"/>
      <c r="D52" s="64"/>
      <c r="E52" s="64"/>
      <c r="F52" s="64"/>
      <c r="G52" s="64"/>
      <c r="H52" s="64"/>
      <c r="I52" s="64"/>
      <c r="J52" s="64"/>
      <c r="K52" s="64"/>
      <c r="L52" s="64"/>
      <c r="M52" s="64"/>
      <c r="N52" s="64"/>
      <c r="O52" s="64"/>
      <c r="P52" s="64"/>
      <c r="Q52" s="64"/>
      <c r="R52" s="64"/>
      <c r="S52" s="64"/>
      <c r="T52" s="64"/>
      <c r="U52" s="64"/>
      <c r="V52" s="64"/>
      <c r="W52" s="64"/>
      <c r="X52" s="64"/>
      <c r="Y52" s="64"/>
      <c r="Z52" s="64"/>
      <c r="AA52" s="64"/>
      <c r="AB52" s="64"/>
      <c r="AC52" s="64"/>
      <c r="AD52" s="64"/>
      <c r="AE52" s="64"/>
      <c r="AF52" s="64"/>
    </row>
    <row r="53" spans="1:32">
      <c r="A53" s="1"/>
      <c r="B53" s="1"/>
      <c r="C53" s="64"/>
      <c r="D53" s="64"/>
      <c r="E53" s="64"/>
      <c r="F53" s="64"/>
      <c r="G53" s="64"/>
      <c r="H53" s="64"/>
      <c r="I53" s="64"/>
      <c r="J53" s="64"/>
      <c r="K53" s="64"/>
      <c r="L53" s="64"/>
      <c r="M53" s="64"/>
      <c r="N53" s="64"/>
      <c r="O53" s="64"/>
      <c r="P53" s="64"/>
      <c r="Q53" s="64"/>
      <c r="R53" s="64"/>
      <c r="S53" s="64"/>
      <c r="T53" s="64"/>
      <c r="U53" s="64"/>
      <c r="V53" s="64"/>
      <c r="W53" s="64"/>
      <c r="X53" s="64"/>
      <c r="Y53" s="64"/>
      <c r="Z53" s="64"/>
      <c r="AA53" s="64"/>
      <c r="AB53" s="64"/>
      <c r="AC53" s="64"/>
      <c r="AD53" s="64"/>
      <c r="AE53" s="64"/>
      <c r="AF53" s="64"/>
    </row>
    <row r="54" spans="1:32">
      <c r="A54" s="1"/>
      <c r="B54" s="1"/>
      <c r="C54" s="64"/>
      <c r="D54" s="64"/>
      <c r="E54" s="64"/>
      <c r="F54" s="64"/>
      <c r="G54" s="64"/>
      <c r="H54" s="64"/>
      <c r="I54" s="64"/>
      <c r="J54" s="64"/>
      <c r="K54" s="64"/>
      <c r="L54" s="64"/>
      <c r="M54" s="64"/>
      <c r="N54" s="64"/>
      <c r="O54" s="64"/>
      <c r="P54" s="64"/>
      <c r="Q54" s="64"/>
      <c r="R54" s="64"/>
      <c r="S54" s="64"/>
      <c r="T54" s="64"/>
      <c r="U54" s="64"/>
      <c r="V54" s="64"/>
      <c r="W54" s="64"/>
      <c r="X54" s="64"/>
      <c r="Y54" s="64"/>
      <c r="Z54" s="64"/>
      <c r="AA54" s="64"/>
      <c r="AB54" s="64"/>
      <c r="AC54" s="64"/>
      <c r="AD54" s="64"/>
      <c r="AE54" s="64"/>
      <c r="AF54" s="64"/>
    </row>
    <row r="55" spans="1:32">
      <c r="A55" s="1"/>
      <c r="B55" s="1"/>
      <c r="C55" s="64"/>
      <c r="D55" s="64"/>
      <c r="E55" s="64"/>
      <c r="F55" s="64"/>
      <c r="G55" s="64"/>
      <c r="H55" s="64"/>
      <c r="I55" s="64"/>
      <c r="J55" s="64"/>
      <c r="K55" s="64"/>
      <c r="L55" s="64"/>
      <c r="M55" s="64"/>
      <c r="N55" s="64"/>
      <c r="O55" s="64"/>
      <c r="P55" s="64"/>
      <c r="Q55" s="64"/>
      <c r="R55" s="64"/>
      <c r="S55" s="64"/>
      <c r="T55" s="64"/>
      <c r="U55" s="64"/>
      <c r="V55" s="64"/>
      <c r="W55" s="64"/>
      <c r="X55" s="64"/>
      <c r="Y55" s="64"/>
      <c r="Z55" s="64"/>
      <c r="AA55" s="64"/>
      <c r="AB55" s="64"/>
      <c r="AC55" s="64"/>
      <c r="AD55" s="64"/>
      <c r="AE55" s="64"/>
      <c r="AF55" s="64"/>
    </row>
    <row r="56" spans="1:32">
      <c r="A56" s="1"/>
      <c r="B56" s="1"/>
      <c r="C56" s="64"/>
      <c r="D56" s="64"/>
      <c r="E56" s="64"/>
      <c r="F56" s="64"/>
      <c r="G56" s="64"/>
      <c r="H56" s="64"/>
      <c r="I56" s="64"/>
      <c r="J56" s="64"/>
      <c r="K56" s="64"/>
      <c r="L56" s="64"/>
      <c r="M56" s="64"/>
      <c r="N56" s="64"/>
      <c r="O56" s="64"/>
      <c r="P56" s="64"/>
      <c r="Q56" s="64"/>
      <c r="R56" s="64"/>
      <c r="S56" s="64"/>
      <c r="T56" s="64"/>
      <c r="U56" s="64"/>
      <c r="V56" s="64"/>
      <c r="W56" s="64"/>
      <c r="X56" s="64"/>
      <c r="Y56" s="64"/>
      <c r="Z56" s="64"/>
      <c r="AA56" s="64"/>
      <c r="AB56" s="64"/>
      <c r="AC56" s="64"/>
      <c r="AD56" s="64"/>
      <c r="AE56" s="64"/>
      <c r="AF56" s="64"/>
    </row>
    <row r="57" spans="1:32">
      <c r="A57" s="1"/>
      <c r="B57" s="1"/>
      <c r="C57" s="64"/>
      <c r="D57" s="64"/>
      <c r="E57" s="64"/>
      <c r="F57" s="64"/>
      <c r="G57" s="64"/>
      <c r="H57" s="64"/>
      <c r="I57" s="64"/>
      <c r="J57" s="64"/>
      <c r="K57" s="64"/>
      <c r="L57" s="64"/>
      <c r="M57" s="64"/>
      <c r="N57" s="64"/>
      <c r="O57" s="64"/>
      <c r="P57" s="64"/>
      <c r="Q57" s="64"/>
      <c r="R57" s="64"/>
      <c r="S57" s="64"/>
      <c r="T57" s="64"/>
      <c r="U57" s="64"/>
      <c r="V57" s="64"/>
      <c r="W57" s="64"/>
      <c r="X57" s="64"/>
      <c r="Y57" s="64"/>
      <c r="Z57" s="64"/>
      <c r="AA57" s="64"/>
      <c r="AB57" s="64"/>
      <c r="AC57" s="64"/>
      <c r="AD57" s="64"/>
      <c r="AE57" s="64"/>
      <c r="AF57" s="64"/>
    </row>
    <row r="58" spans="1:32">
      <c r="A58" s="1"/>
      <c r="B58" s="1"/>
      <c r="C58" s="64"/>
      <c r="D58" s="64"/>
      <c r="E58" s="64"/>
      <c r="F58" s="64"/>
      <c r="G58" s="64"/>
      <c r="H58" s="64"/>
      <c r="I58" s="64"/>
      <c r="J58" s="64"/>
      <c r="K58" s="64"/>
      <c r="L58" s="64"/>
      <c r="M58" s="64"/>
      <c r="N58" s="64"/>
      <c r="O58" s="64"/>
      <c r="P58" s="64"/>
      <c r="Q58" s="64"/>
      <c r="R58" s="64"/>
      <c r="S58" s="64"/>
      <c r="T58" s="64"/>
      <c r="U58" s="64"/>
      <c r="V58" s="64"/>
      <c r="W58" s="64"/>
      <c r="X58" s="64"/>
      <c r="Y58" s="64"/>
      <c r="Z58" s="64"/>
      <c r="AA58" s="64"/>
      <c r="AB58" s="64"/>
      <c r="AC58" s="64"/>
      <c r="AD58" s="64"/>
      <c r="AE58" s="64"/>
      <c r="AF58" s="64"/>
    </row>
    <row r="59" spans="1:32">
      <c r="A59" s="1"/>
      <c r="B59" s="1"/>
      <c r="C59" s="64"/>
      <c r="D59" s="64"/>
      <c r="E59" s="64"/>
      <c r="F59" s="64"/>
      <c r="G59" s="64"/>
      <c r="H59" s="64"/>
      <c r="I59" s="64"/>
      <c r="J59" s="64"/>
      <c r="K59" s="64"/>
      <c r="L59" s="64"/>
      <c r="M59" s="64"/>
      <c r="N59" s="64"/>
      <c r="O59" s="64"/>
      <c r="P59" s="64"/>
      <c r="Q59" s="64"/>
      <c r="R59" s="64"/>
      <c r="S59" s="64"/>
      <c r="T59" s="64"/>
      <c r="U59" s="64"/>
      <c r="V59" s="64"/>
      <c r="W59" s="64"/>
      <c r="X59" s="64"/>
      <c r="Y59" s="64"/>
      <c r="Z59" s="64"/>
      <c r="AA59" s="64"/>
      <c r="AB59" s="64"/>
      <c r="AC59" s="64"/>
      <c r="AD59" s="64"/>
      <c r="AE59" s="64"/>
      <c r="AF59" s="64"/>
    </row>
    <row r="60" spans="1:32">
      <c r="A60" s="1"/>
      <c r="B60" s="1"/>
      <c r="C60" s="64"/>
      <c r="D60" s="64"/>
      <c r="E60" s="64"/>
      <c r="F60" s="64"/>
      <c r="G60" s="64"/>
      <c r="H60" s="64"/>
      <c r="I60" s="64"/>
      <c r="J60" s="64"/>
      <c r="K60" s="64"/>
      <c r="L60" s="64"/>
      <c r="M60" s="64"/>
      <c r="N60" s="64"/>
      <c r="O60" s="64"/>
      <c r="P60" s="64"/>
      <c r="Q60" s="64"/>
      <c r="R60" s="64"/>
      <c r="S60" s="64"/>
      <c r="T60" s="64"/>
      <c r="U60" s="64"/>
      <c r="V60" s="64"/>
      <c r="W60" s="64"/>
      <c r="X60" s="64"/>
      <c r="Y60" s="64"/>
      <c r="Z60" s="64"/>
      <c r="AA60" s="64"/>
      <c r="AB60" s="64"/>
      <c r="AC60" s="64"/>
      <c r="AD60" s="64"/>
      <c r="AE60" s="64"/>
      <c r="AF60" s="64"/>
    </row>
    <row r="61" spans="1:32">
      <c r="A61" s="1"/>
      <c r="B61" s="1"/>
      <c r="C61" s="64"/>
      <c r="D61" s="64"/>
      <c r="E61" s="64"/>
      <c r="F61" s="64"/>
      <c r="G61" s="64"/>
      <c r="H61" s="64"/>
      <c r="I61" s="64"/>
      <c r="J61" s="64"/>
      <c r="K61" s="64"/>
      <c r="L61" s="64"/>
      <c r="M61" s="64"/>
      <c r="N61" s="64"/>
      <c r="O61" s="64"/>
      <c r="P61" s="64"/>
      <c r="Q61" s="64"/>
      <c r="R61" s="64"/>
      <c r="S61" s="64"/>
      <c r="T61" s="64"/>
      <c r="U61" s="64"/>
      <c r="V61" s="64"/>
      <c r="W61" s="64"/>
      <c r="X61" s="64"/>
      <c r="Y61" s="64"/>
      <c r="Z61" s="64"/>
      <c r="AA61" s="64"/>
      <c r="AB61" s="64"/>
      <c r="AC61" s="64"/>
      <c r="AD61" s="64"/>
      <c r="AE61" s="64"/>
      <c r="AF61" s="64"/>
    </row>
    <row r="62" spans="1:32">
      <c r="A62" s="1"/>
      <c r="B62" s="1"/>
      <c r="C62" s="64"/>
      <c r="D62" s="64"/>
      <c r="E62" s="64"/>
      <c r="F62" s="64"/>
      <c r="G62" s="64"/>
      <c r="H62" s="64"/>
      <c r="I62" s="64"/>
      <c r="J62" s="64"/>
      <c r="K62" s="64"/>
      <c r="L62" s="64"/>
      <c r="M62" s="64"/>
      <c r="N62" s="64"/>
      <c r="O62" s="64"/>
      <c r="P62" s="64"/>
      <c r="Q62" s="64"/>
      <c r="R62" s="64"/>
      <c r="S62" s="64"/>
      <c r="T62" s="64"/>
      <c r="U62" s="64"/>
      <c r="V62" s="64"/>
      <c r="W62" s="64"/>
      <c r="X62" s="64"/>
      <c r="Y62" s="64"/>
      <c r="Z62" s="64"/>
      <c r="AA62" s="64"/>
      <c r="AB62" s="64"/>
      <c r="AC62" s="64"/>
      <c r="AD62" s="64"/>
      <c r="AE62" s="64"/>
      <c r="AF62" s="64"/>
    </row>
    <row r="63" spans="1:32">
      <c r="A63" s="1"/>
      <c r="B63" s="1"/>
      <c r="C63" s="64"/>
      <c r="D63" s="64"/>
      <c r="E63" s="64"/>
      <c r="F63" s="64"/>
      <c r="G63" s="64"/>
      <c r="H63" s="64"/>
      <c r="I63" s="64"/>
      <c r="J63" s="64"/>
      <c r="K63" s="64"/>
      <c r="L63" s="64"/>
      <c r="M63" s="64"/>
      <c r="N63" s="64"/>
      <c r="O63" s="64"/>
      <c r="P63" s="64"/>
      <c r="Q63" s="64"/>
      <c r="R63" s="64"/>
      <c r="S63" s="64"/>
      <c r="T63" s="64"/>
      <c r="U63" s="64"/>
      <c r="V63" s="64"/>
      <c r="W63" s="64"/>
      <c r="X63" s="64"/>
      <c r="Y63" s="64"/>
      <c r="Z63" s="64"/>
      <c r="AA63" s="64"/>
      <c r="AB63" s="64"/>
      <c r="AC63" s="64"/>
      <c r="AD63" s="64"/>
      <c r="AE63" s="64"/>
      <c r="AF63" s="64"/>
    </row>
    <row r="64" spans="1:32">
      <c r="A64" s="1"/>
      <c r="B64" s="1"/>
      <c r="C64" s="64"/>
      <c r="D64" s="64"/>
      <c r="E64" s="64"/>
      <c r="F64" s="64"/>
      <c r="G64" s="64"/>
      <c r="H64" s="64"/>
      <c r="I64" s="64"/>
      <c r="J64" s="64"/>
      <c r="K64" s="64"/>
      <c r="L64" s="64"/>
      <c r="M64" s="64"/>
      <c r="N64" s="64"/>
      <c r="O64" s="64"/>
      <c r="P64" s="64"/>
      <c r="Q64" s="64"/>
      <c r="R64" s="64"/>
      <c r="S64" s="64"/>
      <c r="T64" s="64"/>
      <c r="U64" s="64"/>
      <c r="V64" s="64"/>
      <c r="W64" s="64"/>
      <c r="X64" s="64"/>
      <c r="Y64" s="64"/>
      <c r="Z64" s="64"/>
      <c r="AA64" s="64"/>
      <c r="AB64" s="64"/>
      <c r="AC64" s="64"/>
      <c r="AD64" s="64"/>
      <c r="AE64" s="64"/>
      <c r="AF64" s="64"/>
    </row>
    <row r="65" spans="1:32">
      <c r="A65" s="1"/>
      <c r="B65" s="1"/>
      <c r="C65" s="64"/>
      <c r="D65" s="64"/>
      <c r="E65" s="64"/>
      <c r="F65" s="64"/>
      <c r="G65" s="64"/>
      <c r="H65" s="64"/>
      <c r="I65" s="64"/>
      <c r="J65" s="64"/>
      <c r="K65" s="64"/>
      <c r="L65" s="64"/>
      <c r="M65" s="64"/>
      <c r="N65" s="64"/>
      <c r="O65" s="64"/>
      <c r="P65" s="64"/>
      <c r="Q65" s="64"/>
      <c r="R65" s="64"/>
      <c r="S65" s="64"/>
      <c r="T65" s="64"/>
      <c r="U65" s="64"/>
      <c r="V65" s="64"/>
      <c r="W65" s="64"/>
      <c r="X65" s="64"/>
      <c r="Y65" s="64"/>
      <c r="Z65" s="64"/>
      <c r="AA65" s="64"/>
      <c r="AB65" s="64"/>
      <c r="AC65" s="64"/>
      <c r="AD65" s="64"/>
      <c r="AE65" s="64"/>
      <c r="AF65" s="64"/>
    </row>
    <row r="66" spans="1:32">
      <c r="A66" s="1"/>
      <c r="B66" s="1"/>
      <c r="C66" s="64"/>
      <c r="D66" s="64"/>
      <c r="E66" s="64"/>
      <c r="F66" s="64"/>
      <c r="G66" s="64"/>
      <c r="H66" s="64"/>
      <c r="I66" s="64"/>
      <c r="J66" s="64"/>
      <c r="K66" s="64"/>
      <c r="L66" s="64"/>
      <c r="M66" s="64"/>
      <c r="N66" s="64"/>
      <c r="O66" s="64"/>
      <c r="P66" s="64"/>
      <c r="Q66" s="64"/>
      <c r="R66" s="64"/>
      <c r="S66" s="64"/>
      <c r="T66" s="64"/>
      <c r="U66" s="64"/>
      <c r="V66" s="64"/>
      <c r="W66" s="64"/>
      <c r="X66" s="64"/>
      <c r="Y66" s="64"/>
      <c r="Z66" s="64"/>
      <c r="AA66" s="64"/>
      <c r="AB66" s="64"/>
      <c r="AC66" s="64"/>
      <c r="AD66" s="64"/>
      <c r="AE66" s="64"/>
      <c r="AF66" s="64"/>
    </row>
    <row r="67" spans="1:32">
      <c r="A67" s="1"/>
      <c r="B67" s="1"/>
      <c r="C67" s="64"/>
      <c r="D67" s="64"/>
      <c r="E67" s="64"/>
      <c r="F67" s="64"/>
      <c r="G67" s="64"/>
      <c r="H67" s="64"/>
      <c r="I67" s="64"/>
      <c r="J67" s="64"/>
      <c r="K67" s="64"/>
      <c r="L67" s="64"/>
      <c r="M67" s="64"/>
      <c r="N67" s="64"/>
      <c r="O67" s="64"/>
      <c r="P67" s="64"/>
      <c r="Q67" s="64"/>
      <c r="R67" s="64"/>
      <c r="S67" s="64"/>
      <c r="T67" s="64"/>
      <c r="U67" s="64"/>
      <c r="V67" s="64"/>
      <c r="W67" s="64"/>
      <c r="X67" s="64"/>
      <c r="Y67" s="64"/>
      <c r="Z67" s="64"/>
      <c r="AA67" s="64"/>
      <c r="AB67" s="64"/>
      <c r="AC67" s="64"/>
      <c r="AD67" s="64"/>
      <c r="AE67" s="64"/>
      <c r="AF67" s="64"/>
    </row>
    <row r="68" spans="1:32">
      <c r="A68" s="1"/>
      <c r="B68" s="1"/>
      <c r="C68" s="64"/>
      <c r="D68" s="64"/>
      <c r="E68" s="64"/>
      <c r="F68" s="64"/>
      <c r="G68" s="64"/>
      <c r="H68" s="64"/>
      <c r="I68" s="64"/>
      <c r="J68" s="64"/>
      <c r="K68" s="64"/>
      <c r="L68" s="64"/>
      <c r="M68" s="64"/>
      <c r="N68" s="64"/>
      <c r="O68" s="64"/>
      <c r="P68" s="64"/>
      <c r="Q68" s="64"/>
      <c r="R68" s="64"/>
      <c r="S68" s="64"/>
      <c r="T68" s="64"/>
      <c r="U68" s="64"/>
      <c r="V68" s="64"/>
      <c r="W68" s="64"/>
      <c r="X68" s="64"/>
      <c r="Y68" s="64"/>
      <c r="Z68" s="64"/>
      <c r="AA68" s="64"/>
      <c r="AB68" s="64"/>
      <c r="AC68" s="64"/>
      <c r="AD68" s="64"/>
      <c r="AE68" s="64"/>
      <c r="AF68" s="64"/>
    </row>
    <row r="69" spans="1:32">
      <c r="A69" s="1"/>
      <c r="B69" s="1"/>
      <c r="C69" s="64"/>
      <c r="D69" s="64"/>
      <c r="E69" s="64"/>
      <c r="F69" s="64"/>
      <c r="G69" s="64"/>
      <c r="H69" s="64"/>
      <c r="I69" s="64"/>
      <c r="J69" s="64"/>
      <c r="K69" s="64"/>
      <c r="L69" s="64"/>
      <c r="M69" s="64"/>
      <c r="N69" s="64"/>
      <c r="O69" s="64"/>
      <c r="P69" s="64"/>
      <c r="Q69" s="64"/>
      <c r="R69" s="64"/>
      <c r="S69" s="64"/>
      <c r="T69" s="64"/>
      <c r="U69" s="64"/>
      <c r="V69" s="64"/>
      <c r="W69" s="64"/>
      <c r="X69" s="64"/>
      <c r="Y69" s="64"/>
      <c r="Z69" s="64"/>
      <c r="AA69" s="64"/>
      <c r="AB69" s="64"/>
      <c r="AC69" s="64"/>
      <c r="AD69" s="64"/>
      <c r="AE69" s="64"/>
      <c r="AF69" s="64"/>
    </row>
    <row r="70" spans="1:32">
      <c r="A70" s="489"/>
      <c r="B70" s="489"/>
      <c r="C70" s="65"/>
      <c r="D70" s="65" t="str">
        <f>IF('Deposit Recovery'!D5="Yes","Net Cost","Cost")</f>
        <v>Cost</v>
      </c>
      <c r="E70" s="65"/>
      <c r="F70" s="65"/>
      <c r="G70" s="65"/>
      <c r="H70" s="65"/>
      <c r="I70" s="65"/>
      <c r="J70" s="65"/>
      <c r="K70" s="65"/>
      <c r="L70" s="65"/>
      <c r="M70" s="65"/>
      <c r="N70" s="65"/>
      <c r="O70" s="65"/>
      <c r="P70" s="65"/>
      <c r="Q70" s="65"/>
      <c r="R70" s="65"/>
      <c r="S70" s="65"/>
      <c r="T70" s="65"/>
      <c r="U70" s="65"/>
      <c r="V70" s="65"/>
      <c r="W70" s="65"/>
      <c r="X70" s="65"/>
      <c r="Y70" s="65"/>
      <c r="Z70" s="65"/>
      <c r="AA70" s="65"/>
      <c r="AB70" s="65"/>
      <c r="AC70" s="65"/>
      <c r="AD70" s="65"/>
      <c r="AE70" s="65"/>
      <c r="AF70" s="65"/>
    </row>
    <row r="71" spans="1:32">
      <c r="A71" s="489"/>
      <c r="B71" s="489"/>
      <c r="C71" s="65"/>
      <c r="D71" s="65"/>
      <c r="E71" s="65"/>
      <c r="F71" s="65"/>
      <c r="G71" s="65"/>
      <c r="H71" s="65"/>
      <c r="I71" s="65"/>
      <c r="J71" s="65"/>
      <c r="K71" s="65"/>
      <c r="L71" s="65"/>
      <c r="M71" s="65"/>
      <c r="N71" s="65"/>
      <c r="O71" s="65"/>
      <c r="P71" s="65"/>
      <c r="Q71" s="65"/>
      <c r="R71" s="65"/>
      <c r="S71" s="65"/>
      <c r="T71" s="65"/>
      <c r="U71" s="65"/>
      <c r="V71" s="65"/>
      <c r="W71" s="65"/>
      <c r="X71" s="65"/>
      <c r="Y71" s="65"/>
      <c r="Z71" s="65"/>
      <c r="AA71" s="65"/>
      <c r="AB71" s="65"/>
      <c r="AC71" s="65"/>
      <c r="AD71" s="65"/>
      <c r="AE71" s="65"/>
      <c r="AF71" s="65"/>
    </row>
    <row r="72" spans="1:32" s="422" customFormat="1">
      <c r="A72" s="491"/>
      <c r="B72" s="491"/>
      <c r="C72" s="491"/>
      <c r="D72" s="492">
        <f>IF(OR($B$5=Lists!$A$56,$B$5=Lists!$A$57,F74=0),1,(1+Input!$B$4)^((Input!D4-Input!$I$14)/365))</f>
        <v>1</v>
      </c>
      <c r="E72" s="491"/>
      <c r="F72" s="491"/>
      <c r="G72" s="491"/>
      <c r="H72" s="492">
        <f>IF(OR($B$5=Lists!$A$56,$B$5=Lists!$A$57,F74=0),1,(1+Input!$B$4)^((Input!H4-Input!D4)/365))</f>
        <v>1</v>
      </c>
      <c r="I72" s="491"/>
      <c r="J72" s="491"/>
      <c r="K72" s="492">
        <f ca="1">IF(OR($B$5=Lists!$A$56,$B$5=Lists!$A$57,J74=0),1,(1+Input!$B$4)^((Input!K4-Input!H4)/365))</f>
        <v>1</v>
      </c>
      <c r="L72" s="491"/>
      <c r="M72" s="491"/>
      <c r="N72" s="492">
        <f ca="1">IF(OR($B$5=Lists!$A$56,$B$5=Lists!$A$57,M74=0),1,(1+Input!$B$4)^((Input!N4-Input!K4)/365))</f>
        <v>1</v>
      </c>
      <c r="O72" s="491"/>
      <c r="P72" s="491"/>
      <c r="Q72" s="492">
        <f ca="1">IF(OR($B$5=Lists!$A$56,$B$5=Lists!$A$57,P74=0),1,(1+Input!$B$4)^((Input!Q4-Input!N4)/365))</f>
        <v>1</v>
      </c>
      <c r="R72" s="491"/>
      <c r="S72" s="491"/>
      <c r="T72" s="491"/>
      <c r="U72" s="491"/>
      <c r="V72" s="491"/>
      <c r="W72" s="491"/>
      <c r="X72" s="491"/>
      <c r="Y72" s="491"/>
      <c r="Z72" s="491"/>
      <c r="AA72" s="491"/>
      <c r="AB72" s="491"/>
      <c r="AC72" s="491"/>
      <c r="AD72" s="491"/>
      <c r="AE72" s="491"/>
      <c r="AF72" s="491"/>
    </row>
    <row r="73" spans="1:32" s="421" customFormat="1">
      <c r="A73" s="491"/>
      <c r="B73" s="491"/>
      <c r="C73" s="491"/>
      <c r="D73" s="492">
        <f>D72</f>
        <v>1</v>
      </c>
      <c r="E73" s="491"/>
      <c r="F73" s="491"/>
      <c r="G73" s="491"/>
      <c r="H73" s="493">
        <f>H72*D73</f>
        <v>1</v>
      </c>
      <c r="I73" s="493"/>
      <c r="J73" s="491"/>
      <c r="K73" s="493">
        <f ca="1">K72*H73</f>
        <v>1</v>
      </c>
      <c r="L73" s="493"/>
      <c r="M73" s="493"/>
      <c r="N73" s="493">
        <f ca="1">N72*K73</f>
        <v>1</v>
      </c>
      <c r="O73" s="493"/>
      <c r="P73" s="493"/>
      <c r="Q73" s="493">
        <f ca="1">Q72*N73</f>
        <v>1</v>
      </c>
      <c r="R73" s="491"/>
      <c r="S73" s="491"/>
      <c r="T73" s="491"/>
      <c r="U73" s="491"/>
      <c r="V73" s="491"/>
      <c r="W73" s="491"/>
      <c r="X73" s="491"/>
      <c r="Y73" s="491"/>
      <c r="Z73" s="491"/>
      <c r="AA73" s="491"/>
      <c r="AB73" s="491"/>
      <c r="AC73" s="491"/>
      <c r="AD73" s="491"/>
      <c r="AE73" s="491"/>
      <c r="AF73" s="491"/>
    </row>
    <row r="74" spans="1:32" s="422" customFormat="1">
      <c r="A74" s="491"/>
      <c r="B74" s="491"/>
      <c r="C74" s="491"/>
      <c r="D74" s="491"/>
      <c r="E74" s="491"/>
      <c r="F74" s="493">
        <f>Exploration!C5</f>
        <v>1</v>
      </c>
      <c r="G74" s="493"/>
      <c r="H74" s="491"/>
      <c r="I74" s="491"/>
      <c r="J74" s="493">
        <f ca="1">Exploration!C6</f>
        <v>1</v>
      </c>
      <c r="K74" s="491"/>
      <c r="L74" s="491"/>
      <c r="M74" s="493">
        <f ca="1">Exploration!C7</f>
        <v>1</v>
      </c>
      <c r="N74" s="491"/>
      <c r="O74" s="491"/>
      <c r="P74" s="493">
        <f ca="1">Exploration!C8</f>
        <v>1</v>
      </c>
      <c r="Q74" s="491"/>
      <c r="R74" s="491"/>
      <c r="S74" s="491"/>
      <c r="T74" s="491"/>
      <c r="U74" s="491"/>
      <c r="V74" s="491"/>
      <c r="W74" s="491"/>
      <c r="X74" s="491"/>
      <c r="Y74" s="491"/>
      <c r="Z74" s="491"/>
      <c r="AA74" s="491"/>
      <c r="AB74" s="491"/>
      <c r="AC74" s="491"/>
      <c r="AD74" s="491"/>
      <c r="AE74" s="491"/>
      <c r="AF74" s="491"/>
    </row>
    <row r="75" spans="1:32">
      <c r="A75" s="489"/>
      <c r="B75" s="489"/>
      <c r="C75" s="65"/>
      <c r="D75" s="491"/>
      <c r="E75" s="494">
        <f ca="1">I16</f>
        <v>1671.5189173005642</v>
      </c>
      <c r="F75" s="494">
        <f ca="1">I17</f>
        <v>16000.37882262297</v>
      </c>
      <c r="G75" s="494">
        <f ca="1">I19</f>
        <v>0</v>
      </c>
      <c r="H75" s="491">
        <f t="array" ref="H75:R75" ca="1">TRANSPOSE(I20:I30)</f>
        <v>0</v>
      </c>
      <c r="I75" s="491">
        <f ca="1"/>
        <v>0</v>
      </c>
      <c r="J75" s="491">
        <f ca="1"/>
        <v>-211.09843902954154</v>
      </c>
      <c r="K75" s="491">
        <f ca="1"/>
        <v>-14.324155938444957</v>
      </c>
      <c r="L75" s="491">
        <f ca="1"/>
        <v>-3751.6725816285634</v>
      </c>
      <c r="M75" s="491">
        <f ca="1"/>
        <v>-1070.4496019859803</v>
      </c>
      <c r="N75" s="491">
        <f ca="1"/>
        <v>-2462.9204080226941</v>
      </c>
      <c r="O75" s="491">
        <f ca="1"/>
        <v>-3057.7036654114922</v>
      </c>
      <c r="P75" s="491">
        <f ca="1"/>
        <v>-1175.9147083451385</v>
      </c>
      <c r="Q75" s="491">
        <f ca="1"/>
        <v>-1324.9900984331935</v>
      </c>
      <c r="R75" s="491">
        <f ca="1"/>
        <v>-31.833831024195501</v>
      </c>
      <c r="S75" s="494">
        <f ca="1">I32</f>
        <v>4570.9902501042889</v>
      </c>
      <c r="T75" s="491"/>
      <c r="U75" s="65"/>
      <c r="V75" s="65"/>
      <c r="W75" s="65"/>
      <c r="X75" s="65"/>
      <c r="Y75" s="65"/>
      <c r="Z75" s="65"/>
      <c r="AA75" s="65"/>
      <c r="AB75" s="65"/>
      <c r="AC75" s="65"/>
      <c r="AD75" s="65"/>
      <c r="AE75" s="65"/>
      <c r="AF75" s="65"/>
    </row>
    <row r="76" spans="1:32">
      <c r="A76" s="491"/>
      <c r="B76" s="491"/>
      <c r="C76" s="491"/>
      <c r="D76" s="491"/>
      <c r="E76" s="494">
        <f t="shared" ref="E76:J76" ca="1" si="0">D76+E75</f>
        <v>1671.5189173005642</v>
      </c>
      <c r="F76" s="494">
        <f t="shared" ca="1" si="0"/>
        <v>17671.897739923534</v>
      </c>
      <c r="G76" s="494">
        <f t="shared" ca="1" si="0"/>
        <v>17671.897739923534</v>
      </c>
      <c r="H76" s="494">
        <f t="shared" ca="1" si="0"/>
        <v>17671.897739923534</v>
      </c>
      <c r="I76" s="494">
        <f t="shared" ca="1" si="0"/>
        <v>17671.897739923534</v>
      </c>
      <c r="J76" s="494">
        <f t="shared" ca="1" si="0"/>
        <v>17460.799300893992</v>
      </c>
      <c r="K76" s="494">
        <f t="shared" ref="K76:R76" ca="1" si="1">J76+K75</f>
        <v>17446.475144955548</v>
      </c>
      <c r="L76" s="494">
        <f t="shared" ca="1" si="1"/>
        <v>13694.802563326984</v>
      </c>
      <c r="M76" s="494">
        <f t="shared" ca="1" si="1"/>
        <v>12624.352961341005</v>
      </c>
      <c r="N76" s="494">
        <f t="shared" ca="1" si="1"/>
        <v>10161.432553318311</v>
      </c>
      <c r="O76" s="494">
        <f t="shared" ca="1" si="1"/>
        <v>7103.7288879068183</v>
      </c>
      <c r="P76" s="494">
        <f t="shared" ca="1" si="1"/>
        <v>5927.8141795616793</v>
      </c>
      <c r="Q76" s="494">
        <f t="shared" ca="1" si="1"/>
        <v>4602.8240811284859</v>
      </c>
      <c r="R76" s="494">
        <f t="shared" ca="1" si="1"/>
        <v>4570.9902501042907</v>
      </c>
      <c r="S76" s="491"/>
      <c r="T76" s="489"/>
      <c r="U76" s="491"/>
      <c r="V76" s="491"/>
      <c r="W76" s="491"/>
      <c r="X76" s="65"/>
      <c r="Y76" s="65"/>
      <c r="Z76" s="65"/>
      <c r="AA76" s="65"/>
      <c r="AB76" s="65"/>
      <c r="AC76" s="65"/>
      <c r="AD76" s="65"/>
      <c r="AE76" s="65"/>
      <c r="AF76" s="65"/>
    </row>
    <row r="77" spans="1:32">
      <c r="A77" s="491"/>
      <c r="B77" s="491"/>
      <c r="C77" s="491"/>
      <c r="D77" s="491"/>
      <c r="E77" s="491" t="s">
        <v>127</v>
      </c>
      <c r="F77" s="491" t="s">
        <v>128</v>
      </c>
      <c r="G77" s="491" t="s">
        <v>1042</v>
      </c>
      <c r="H77" s="491" t="s">
        <v>78</v>
      </c>
      <c r="I77" s="491" t="s">
        <v>86</v>
      </c>
      <c r="J77" s="491" t="s">
        <v>87</v>
      </c>
      <c r="K77" s="491" t="s">
        <v>88</v>
      </c>
      <c r="L77" s="491" t="s">
        <v>130</v>
      </c>
      <c r="M77" s="491" t="s">
        <v>131</v>
      </c>
      <c r="N77" s="491" t="s">
        <v>132</v>
      </c>
      <c r="O77" s="491" t="s">
        <v>38</v>
      </c>
      <c r="P77" s="491" t="s">
        <v>133</v>
      </c>
      <c r="Q77" s="491" t="s">
        <v>134</v>
      </c>
      <c r="R77" s="491" t="s">
        <v>19</v>
      </c>
      <c r="S77" s="491" t="s">
        <v>1104</v>
      </c>
      <c r="T77" s="489"/>
      <c r="U77" s="491"/>
      <c r="V77" s="491"/>
      <c r="W77" s="491"/>
      <c r="X77" s="65"/>
      <c r="Y77" s="65"/>
      <c r="Z77" s="65"/>
      <c r="AA77" s="65"/>
      <c r="AB77" s="65"/>
      <c r="AC77" s="65"/>
      <c r="AD77" s="65"/>
      <c r="AE77" s="65"/>
      <c r="AF77" s="65"/>
    </row>
    <row r="78" spans="1:32">
      <c r="A78" s="491"/>
      <c r="B78" s="491"/>
      <c r="C78" s="491"/>
      <c r="D78" s="491" t="s">
        <v>628</v>
      </c>
      <c r="E78" s="494">
        <f ca="1">E76-E75</f>
        <v>0</v>
      </c>
      <c r="F78" s="494">
        <f ca="1">F76-F75</f>
        <v>1671.5189173005638</v>
      </c>
      <c r="G78" s="494">
        <f ca="1">G76-G75</f>
        <v>17671.897739923534</v>
      </c>
      <c r="H78" s="494">
        <f ca="1">IF(H76&gt;0,H76,IF(F78&gt;0,0,F76))</f>
        <v>17671.897739923534</v>
      </c>
      <c r="I78" s="494">
        <f ca="1">IF(I76&gt;0,I76,IF(H78&gt;0,0,H76))</f>
        <v>17671.897739923534</v>
      </c>
      <c r="J78" s="494">
        <f ca="1">IF(J76&gt;0,J76,IF(I78&gt;0,0,I76))</f>
        <v>17460.799300893992</v>
      </c>
      <c r="K78" s="494">
        <f t="shared" ref="K78:R78" ca="1" si="2">IF(K76&gt;0,K76,IF(J78&gt;0,0,J76))</f>
        <v>17446.475144955548</v>
      </c>
      <c r="L78" s="494">
        <f t="shared" ca="1" si="2"/>
        <v>13694.802563326984</v>
      </c>
      <c r="M78" s="494">
        <f t="shared" ca="1" si="2"/>
        <v>12624.352961341005</v>
      </c>
      <c r="N78" s="494">
        <f t="shared" ca="1" si="2"/>
        <v>10161.432553318311</v>
      </c>
      <c r="O78" s="494">
        <f t="shared" ca="1" si="2"/>
        <v>7103.7288879068183</v>
      </c>
      <c r="P78" s="494">
        <f t="shared" ca="1" si="2"/>
        <v>5927.8141795616793</v>
      </c>
      <c r="Q78" s="494">
        <f t="shared" ca="1" si="2"/>
        <v>4602.8240811284859</v>
      </c>
      <c r="R78" s="494">
        <f t="shared" ca="1" si="2"/>
        <v>4570.9902501042907</v>
      </c>
      <c r="S78" s="491"/>
      <c r="T78" s="489"/>
      <c r="U78" s="491"/>
      <c r="V78" s="491"/>
      <c r="W78" s="491"/>
      <c r="X78" s="65"/>
      <c r="Y78" s="65"/>
      <c r="Z78" s="65"/>
      <c r="AA78" s="65"/>
      <c r="AB78" s="65"/>
      <c r="AC78" s="65"/>
      <c r="AD78" s="65"/>
      <c r="AE78" s="65"/>
      <c r="AF78" s="65"/>
    </row>
    <row r="79" spans="1:32">
      <c r="A79" s="491"/>
      <c r="B79" s="491"/>
      <c r="C79" s="491"/>
      <c r="D79" s="491" t="s">
        <v>15</v>
      </c>
      <c r="E79" s="491">
        <f ca="1">E75</f>
        <v>1671.5189173005642</v>
      </c>
      <c r="F79" s="491">
        <f ca="1">F75</f>
        <v>16000.37882262297</v>
      </c>
      <c r="G79" s="491">
        <f ca="1">G75</f>
        <v>0</v>
      </c>
      <c r="H79" s="491"/>
      <c r="I79" s="491"/>
      <c r="J79" s="491"/>
      <c r="K79" s="491"/>
      <c r="L79" s="491"/>
      <c r="M79" s="491"/>
      <c r="N79" s="491"/>
      <c r="O79" s="491"/>
      <c r="P79" s="491"/>
      <c r="Q79" s="491"/>
      <c r="R79" s="491"/>
      <c r="S79" s="491"/>
      <c r="T79" s="489"/>
      <c r="U79" s="491"/>
      <c r="V79" s="491"/>
      <c r="W79" s="491"/>
      <c r="X79" s="65"/>
      <c r="Y79" s="65"/>
      <c r="Z79" s="65"/>
      <c r="AA79" s="65"/>
      <c r="AB79" s="65"/>
      <c r="AC79" s="65"/>
      <c r="AD79" s="65"/>
      <c r="AE79" s="65"/>
      <c r="AF79" s="65"/>
    </row>
    <row r="80" spans="1:32">
      <c r="A80" s="491"/>
      <c r="B80" s="491"/>
      <c r="C80" s="491"/>
      <c r="D80" s="491" t="s">
        <v>642</v>
      </c>
      <c r="E80" s="491"/>
      <c r="F80" s="491"/>
      <c r="G80" s="491"/>
      <c r="H80" s="491">
        <f ca="1">IF(H78&lt;0,0,IF(H78=0,F78,-H75))</f>
        <v>0</v>
      </c>
      <c r="I80" s="491">
        <f ca="1">IF(I78&lt;0,0,IF(I78=0,H78,-I75))</f>
        <v>0</v>
      </c>
      <c r="J80" s="491">
        <f ca="1">IF(J78&lt;0,0,IF(J78=0,I78,-J75))</f>
        <v>211.09843902954154</v>
      </c>
      <c r="K80" s="491">
        <f t="shared" ref="K80:R80" ca="1" si="3">IF(K78&lt;0,0,IF(K78=0,J78,-K75))</f>
        <v>14.324155938444957</v>
      </c>
      <c r="L80" s="491">
        <f t="shared" ca="1" si="3"/>
        <v>3751.6725816285634</v>
      </c>
      <c r="M80" s="491">
        <f t="shared" ca="1" si="3"/>
        <v>1070.4496019859803</v>
      </c>
      <c r="N80" s="491">
        <f t="shared" ca="1" si="3"/>
        <v>2462.9204080226941</v>
      </c>
      <c r="O80" s="491">
        <f t="shared" ca="1" si="3"/>
        <v>3057.7036654114922</v>
      </c>
      <c r="P80" s="491">
        <f t="shared" ca="1" si="3"/>
        <v>1175.9147083451385</v>
      </c>
      <c r="Q80" s="491">
        <f t="shared" ca="1" si="3"/>
        <v>1324.9900984331935</v>
      </c>
      <c r="R80" s="491">
        <f t="shared" ca="1" si="3"/>
        <v>31.833831024195501</v>
      </c>
      <c r="S80" s="491"/>
      <c r="T80" s="489"/>
      <c r="U80" s="491"/>
      <c r="V80" s="491"/>
      <c r="W80" s="491"/>
      <c r="X80" s="65"/>
      <c r="Y80" s="65"/>
      <c r="Z80" s="65"/>
      <c r="AA80" s="65"/>
      <c r="AB80" s="65"/>
      <c r="AC80" s="65"/>
      <c r="AD80" s="65"/>
      <c r="AE80" s="65"/>
      <c r="AF80" s="65"/>
    </row>
    <row r="81" spans="1:32">
      <c r="A81" s="491"/>
      <c r="B81" s="491"/>
      <c r="C81" s="491"/>
      <c r="D81" s="491" t="s">
        <v>641</v>
      </c>
      <c r="E81" s="491"/>
      <c r="F81" s="491"/>
      <c r="G81" s="491"/>
      <c r="H81" s="491">
        <f ca="1">IF(H78&lt;0,H75,IF(H78=0,H75+H80,0))</f>
        <v>0</v>
      </c>
      <c r="I81" s="491">
        <f ca="1">IF(I78&lt;0,I75,IF(I78=0,I75+I80,0))</f>
        <v>0</v>
      </c>
      <c r="J81" s="491">
        <f ca="1">IF(J78&lt;0,J75,IF(J78=0,J75+J80,0))</f>
        <v>0</v>
      </c>
      <c r="K81" s="491">
        <f t="shared" ref="K81:R81" ca="1" si="4">IF(K78&lt;0,K75,IF(K78=0,K75+K80,0))</f>
        <v>0</v>
      </c>
      <c r="L81" s="491">
        <f t="shared" ca="1" si="4"/>
        <v>0</v>
      </c>
      <c r="M81" s="491">
        <f t="shared" ca="1" si="4"/>
        <v>0</v>
      </c>
      <c r="N81" s="491">
        <f t="shared" ca="1" si="4"/>
        <v>0</v>
      </c>
      <c r="O81" s="491">
        <f t="shared" ca="1" si="4"/>
        <v>0</v>
      </c>
      <c r="P81" s="491">
        <f t="shared" ca="1" si="4"/>
        <v>0</v>
      </c>
      <c r="Q81" s="491">
        <f t="shared" ca="1" si="4"/>
        <v>0</v>
      </c>
      <c r="R81" s="491">
        <f t="shared" ca="1" si="4"/>
        <v>0</v>
      </c>
      <c r="S81" s="491"/>
      <c r="T81" s="489"/>
      <c r="U81" s="491"/>
      <c r="V81" s="491"/>
      <c r="W81" s="491"/>
      <c r="X81" s="65"/>
      <c r="Y81" s="65"/>
      <c r="Z81" s="65"/>
      <c r="AA81" s="65"/>
      <c r="AB81" s="65"/>
      <c r="AC81" s="65"/>
      <c r="AD81" s="65"/>
      <c r="AE81" s="65"/>
      <c r="AF81" s="65"/>
    </row>
    <row r="82" spans="1:32">
      <c r="A82" s="491"/>
      <c r="B82" s="491"/>
      <c r="C82" s="491"/>
      <c r="D82" s="491" t="s">
        <v>639</v>
      </c>
      <c r="E82" s="491"/>
      <c r="F82" s="491"/>
      <c r="G82" s="491"/>
      <c r="H82" s="491"/>
      <c r="I82" s="491"/>
      <c r="J82" s="491"/>
      <c r="K82" s="491"/>
      <c r="L82" s="491"/>
      <c r="M82" s="491"/>
      <c r="N82" s="491"/>
      <c r="O82" s="491"/>
      <c r="P82" s="491"/>
      <c r="Q82" s="491"/>
      <c r="R82" s="491"/>
      <c r="S82" s="491">
        <f ca="1">IF(S75&gt;0,S75,0)</f>
        <v>4570.9902501042889</v>
      </c>
      <c r="T82" s="489"/>
      <c r="U82" s="491"/>
      <c r="V82" s="491"/>
      <c r="W82" s="491"/>
      <c r="X82" s="65"/>
      <c r="Y82" s="65"/>
      <c r="Z82" s="65"/>
      <c r="AA82" s="65"/>
      <c r="AB82" s="65"/>
      <c r="AC82" s="65"/>
      <c r="AD82" s="65"/>
      <c r="AE82" s="65"/>
      <c r="AF82" s="65"/>
    </row>
    <row r="83" spans="1:32">
      <c r="A83" s="491"/>
      <c r="B83" s="491"/>
      <c r="C83" s="491"/>
      <c r="D83" s="491" t="s">
        <v>640</v>
      </c>
      <c r="E83" s="491"/>
      <c r="F83" s="491"/>
      <c r="G83" s="491"/>
      <c r="H83" s="491"/>
      <c r="I83" s="491"/>
      <c r="J83" s="491"/>
      <c r="K83" s="491"/>
      <c r="L83" s="491"/>
      <c r="M83" s="491"/>
      <c r="N83" s="491"/>
      <c r="O83" s="491"/>
      <c r="P83" s="491"/>
      <c r="Q83" s="491"/>
      <c r="R83" s="491"/>
      <c r="S83" s="491">
        <f ca="1">IF(S75&lt;0,S75,0)</f>
        <v>0</v>
      </c>
      <c r="T83" s="489"/>
      <c r="U83" s="491"/>
      <c r="V83" s="491"/>
      <c r="W83" s="491"/>
      <c r="X83" s="65"/>
      <c r="Y83" s="65"/>
      <c r="Z83" s="65"/>
      <c r="AA83" s="65"/>
      <c r="AB83" s="65"/>
      <c r="AC83" s="65"/>
      <c r="AD83" s="65"/>
      <c r="AE83" s="65"/>
      <c r="AF83" s="65"/>
    </row>
    <row r="84" spans="1:32">
      <c r="A84" s="491"/>
      <c r="B84" s="491"/>
      <c r="C84" s="491"/>
      <c r="D84" s="491"/>
      <c r="E84" s="491"/>
      <c r="F84" s="491"/>
      <c r="G84" s="491"/>
      <c r="H84" s="491"/>
      <c r="I84" s="491"/>
      <c r="J84" s="491"/>
      <c r="K84" s="489"/>
      <c r="L84" s="491"/>
      <c r="M84" s="491"/>
      <c r="N84" s="491"/>
      <c r="O84" s="491"/>
      <c r="P84" s="491"/>
      <c r="Q84" s="491"/>
      <c r="R84" s="491"/>
      <c r="S84" s="491"/>
      <c r="T84" s="491"/>
      <c r="U84" s="491"/>
      <c r="V84" s="491"/>
      <c r="W84" s="491"/>
      <c r="X84" s="65"/>
      <c r="Y84" s="65"/>
      <c r="Z84" s="65"/>
      <c r="AA84" s="65"/>
      <c r="AB84" s="65"/>
      <c r="AC84" s="65"/>
      <c r="AD84" s="65"/>
      <c r="AE84" s="65"/>
      <c r="AF84" s="65"/>
    </row>
    <row r="85" spans="1:32">
      <c r="A85" s="422"/>
      <c r="B85" s="422"/>
      <c r="C85" s="422"/>
      <c r="D85" s="422"/>
      <c r="E85" s="422"/>
      <c r="F85" s="422"/>
      <c r="G85" s="422"/>
      <c r="H85" s="422"/>
      <c r="I85" s="422"/>
      <c r="J85" s="422"/>
      <c r="K85" s="422"/>
      <c r="L85" s="422"/>
      <c r="M85" s="422"/>
      <c r="N85" s="422"/>
      <c r="O85" s="422"/>
      <c r="P85" s="422"/>
      <c r="Q85" s="422"/>
      <c r="R85" s="422"/>
      <c r="S85" s="422"/>
      <c r="T85" s="422"/>
      <c r="U85" s="422"/>
      <c r="V85" s="422"/>
      <c r="W85" s="422"/>
    </row>
    <row r="86" spans="1:32">
      <c r="A86" s="422"/>
      <c r="B86" s="422"/>
      <c r="C86" s="422"/>
      <c r="D86" s="422"/>
      <c r="E86" s="422"/>
      <c r="F86" s="422"/>
      <c r="G86" s="422"/>
      <c r="H86" s="422"/>
      <c r="I86" s="422"/>
      <c r="J86" s="422"/>
      <c r="K86" s="422"/>
      <c r="L86" s="422"/>
      <c r="M86" s="422"/>
      <c r="N86" s="422"/>
      <c r="O86" s="422"/>
      <c r="P86" s="422"/>
      <c r="Q86" s="422"/>
      <c r="R86" s="422"/>
      <c r="S86" s="422"/>
      <c r="T86" s="422"/>
      <c r="U86" s="422"/>
      <c r="V86" s="422"/>
      <c r="W86" s="422"/>
    </row>
    <row r="87" spans="1:32">
      <c r="A87" s="422"/>
      <c r="B87" s="422"/>
      <c r="C87" s="422"/>
      <c r="D87" s="422"/>
      <c r="E87" s="422"/>
      <c r="F87" s="422"/>
      <c r="G87" s="422"/>
      <c r="H87" s="422"/>
      <c r="I87" s="422"/>
      <c r="J87" s="422"/>
      <c r="K87" s="422"/>
      <c r="L87" s="422"/>
      <c r="M87" s="422"/>
      <c r="N87" s="422"/>
      <c r="O87" s="422"/>
      <c r="P87" s="422"/>
      <c r="Q87" s="422"/>
      <c r="R87" s="422"/>
      <c r="S87" s="422"/>
      <c r="T87" s="422"/>
      <c r="U87" s="422"/>
      <c r="V87" s="422"/>
      <c r="W87" s="422"/>
    </row>
    <row r="88" spans="1:32">
      <c r="A88" s="422"/>
      <c r="B88" s="422"/>
      <c r="C88" s="422"/>
      <c r="D88" s="422"/>
      <c r="E88" s="422"/>
      <c r="F88" s="422"/>
      <c r="G88" s="422"/>
      <c r="H88" s="422"/>
      <c r="I88" s="422"/>
      <c r="J88" s="422"/>
      <c r="K88" s="422"/>
      <c r="L88" s="422"/>
      <c r="M88" s="422"/>
      <c r="N88" s="422"/>
      <c r="O88" s="422"/>
      <c r="P88" s="422"/>
      <c r="Q88" s="422"/>
      <c r="R88" s="422"/>
      <c r="S88" s="422"/>
      <c r="T88" s="422"/>
      <c r="U88" s="422"/>
      <c r="V88" s="422"/>
      <c r="W88" s="422"/>
    </row>
    <row r="89" spans="1:32">
      <c r="A89" s="422"/>
      <c r="B89" s="422"/>
      <c r="C89" s="422"/>
      <c r="D89" s="422"/>
      <c r="E89" s="422"/>
      <c r="F89" s="422"/>
      <c r="G89" s="422"/>
      <c r="H89" s="422"/>
      <c r="I89" s="422"/>
      <c r="J89" s="422"/>
      <c r="K89" s="422"/>
      <c r="L89" s="422"/>
      <c r="M89" s="422"/>
      <c r="N89" s="422"/>
      <c r="O89" s="422"/>
      <c r="P89" s="422"/>
      <c r="Q89" s="422"/>
      <c r="R89" s="422"/>
      <c r="S89" s="422"/>
      <c r="T89" s="422"/>
      <c r="U89" s="422"/>
      <c r="V89" s="422"/>
      <c r="W89" s="422"/>
    </row>
    <row r="90" spans="1:32">
      <c r="A90" s="422"/>
      <c r="B90" s="422"/>
      <c r="C90" s="422"/>
      <c r="D90" s="422"/>
      <c r="E90" s="422"/>
      <c r="F90" s="422"/>
      <c r="G90" s="422"/>
      <c r="H90" s="422"/>
      <c r="I90" s="422"/>
      <c r="J90" s="422"/>
      <c r="K90" s="422"/>
      <c r="L90" s="422"/>
      <c r="M90" s="422"/>
      <c r="N90" s="422"/>
      <c r="O90" s="422"/>
      <c r="P90" s="422"/>
      <c r="Q90" s="422"/>
      <c r="R90" s="422"/>
      <c r="S90" s="422"/>
      <c r="T90" s="422"/>
      <c r="U90" s="422"/>
      <c r="V90" s="422"/>
      <c r="W90" s="422"/>
    </row>
    <row r="91" spans="1:32">
      <c r="A91" s="422"/>
      <c r="B91" s="422"/>
      <c r="C91" s="422"/>
      <c r="D91" s="422"/>
      <c r="E91" s="422"/>
      <c r="F91" s="422"/>
      <c r="G91" s="422"/>
      <c r="H91" s="422"/>
      <c r="I91" s="422"/>
      <c r="J91" s="422"/>
      <c r="K91" s="422"/>
      <c r="L91" s="422"/>
      <c r="M91" s="422"/>
      <c r="N91" s="422"/>
      <c r="O91" s="422"/>
      <c r="P91" s="422"/>
      <c r="Q91" s="422"/>
      <c r="R91" s="422"/>
      <c r="S91" s="422"/>
      <c r="T91" s="422"/>
      <c r="U91" s="422"/>
      <c r="V91" s="422"/>
      <c r="W91" s="422"/>
    </row>
    <row r="92" spans="1:32">
      <c r="A92" s="422"/>
      <c r="B92" s="422"/>
      <c r="C92" s="422"/>
      <c r="D92" s="422"/>
      <c r="E92" s="422"/>
      <c r="F92" s="422"/>
      <c r="G92" s="422"/>
      <c r="H92" s="422"/>
      <c r="I92" s="422"/>
      <c r="J92" s="422"/>
      <c r="K92" s="422"/>
      <c r="L92" s="422"/>
      <c r="M92" s="422"/>
      <c r="N92" s="422"/>
      <c r="O92" s="422"/>
      <c r="P92" s="422"/>
      <c r="Q92" s="422"/>
      <c r="R92" s="422"/>
      <c r="S92" s="422"/>
      <c r="T92" s="422"/>
      <c r="U92" s="422"/>
      <c r="V92" s="422"/>
      <c r="W92" s="422"/>
    </row>
    <row r="93" spans="1:32">
      <c r="A93" s="422"/>
      <c r="B93" s="422"/>
      <c r="C93" s="422"/>
      <c r="D93" s="422"/>
      <c r="E93" s="422"/>
      <c r="F93" s="422"/>
      <c r="G93" s="422"/>
      <c r="H93" s="422"/>
      <c r="I93" s="422"/>
      <c r="J93" s="422"/>
      <c r="K93" s="422"/>
      <c r="L93" s="422"/>
      <c r="M93" s="422"/>
      <c r="N93" s="422"/>
      <c r="O93" s="422"/>
      <c r="P93" s="422"/>
      <c r="Q93" s="422"/>
      <c r="R93" s="422"/>
      <c r="S93" s="422"/>
      <c r="T93" s="422"/>
      <c r="U93" s="422"/>
      <c r="V93" s="422"/>
      <c r="W93" s="422"/>
    </row>
    <row r="94" spans="1:32">
      <c r="A94" s="422"/>
      <c r="B94" s="422"/>
      <c r="C94" s="422"/>
      <c r="D94" s="422"/>
      <c r="E94" s="422"/>
      <c r="F94" s="422"/>
      <c r="G94" s="422"/>
      <c r="H94" s="422"/>
      <c r="I94" s="422"/>
      <c r="J94" s="422"/>
      <c r="K94" s="422"/>
      <c r="L94" s="422"/>
      <c r="M94" s="422"/>
      <c r="N94" s="422"/>
      <c r="O94" s="422"/>
      <c r="P94" s="422"/>
      <c r="Q94" s="422"/>
      <c r="R94" s="422"/>
      <c r="S94" s="422"/>
      <c r="T94" s="422"/>
      <c r="U94" s="422"/>
      <c r="V94" s="422"/>
      <c r="W94" s="422"/>
    </row>
    <row r="95" spans="1:32">
      <c r="A95" s="422"/>
      <c r="B95" s="422"/>
      <c r="C95" s="422"/>
      <c r="D95" s="422"/>
      <c r="E95" s="422"/>
      <c r="F95" s="422"/>
      <c r="G95" s="422"/>
      <c r="H95" s="422"/>
      <c r="I95" s="422"/>
      <c r="J95" s="422"/>
      <c r="K95" s="422"/>
      <c r="L95" s="422"/>
      <c r="M95" s="422"/>
      <c r="N95" s="422"/>
      <c r="O95" s="422"/>
      <c r="P95" s="422"/>
      <c r="Q95" s="422"/>
      <c r="R95" s="422"/>
      <c r="S95" s="422"/>
      <c r="T95" s="422"/>
      <c r="U95" s="422"/>
      <c r="V95" s="422"/>
      <c r="W95" s="422"/>
    </row>
    <row r="96" spans="1:32">
      <c r="A96" s="422"/>
      <c r="B96" s="422"/>
      <c r="C96" s="422"/>
      <c r="D96" s="422"/>
      <c r="E96" s="422"/>
      <c r="F96" s="422"/>
      <c r="G96" s="422"/>
      <c r="H96" s="422"/>
      <c r="I96" s="422"/>
      <c r="J96" s="422"/>
      <c r="K96" s="422"/>
      <c r="L96" s="422"/>
      <c r="M96" s="422"/>
      <c r="N96" s="422"/>
      <c r="O96" s="422"/>
      <c r="P96" s="422"/>
      <c r="Q96" s="422"/>
      <c r="R96" s="422"/>
      <c r="S96" s="422"/>
      <c r="T96" s="422"/>
      <c r="U96" s="422"/>
      <c r="V96" s="422"/>
      <c r="W96" s="422"/>
    </row>
    <row r="97" spans="1:23">
      <c r="A97" s="422"/>
      <c r="B97" s="422"/>
      <c r="C97" s="422"/>
      <c r="D97" s="422"/>
      <c r="E97" s="422"/>
      <c r="F97" s="422"/>
      <c r="G97" s="422"/>
      <c r="H97" s="422"/>
      <c r="I97" s="422"/>
      <c r="J97" s="422"/>
      <c r="K97" s="422"/>
      <c r="L97" s="422"/>
      <c r="M97" s="422"/>
      <c r="N97" s="422"/>
      <c r="O97" s="422"/>
      <c r="P97" s="422"/>
      <c r="Q97" s="422"/>
      <c r="R97" s="422"/>
      <c r="S97" s="422"/>
      <c r="T97" s="422"/>
      <c r="U97" s="422"/>
      <c r="V97" s="422"/>
      <c r="W97" s="422"/>
    </row>
    <row r="98" spans="1:23">
      <c r="A98" s="422"/>
      <c r="B98" s="422"/>
      <c r="C98" s="422"/>
      <c r="D98" s="422"/>
      <c r="E98" s="422"/>
      <c r="F98" s="422"/>
      <c r="G98" s="422"/>
      <c r="H98" s="422"/>
      <c r="I98" s="422"/>
      <c r="J98" s="422"/>
      <c r="K98" s="422"/>
      <c r="L98" s="422"/>
      <c r="M98" s="422"/>
      <c r="N98" s="422"/>
      <c r="O98" s="422"/>
      <c r="P98" s="422"/>
      <c r="Q98" s="422"/>
      <c r="R98" s="422"/>
      <c r="S98" s="422"/>
      <c r="T98" s="422"/>
      <c r="U98" s="422"/>
      <c r="V98" s="422"/>
      <c r="W98" s="422"/>
    </row>
    <row r="99" spans="1:23">
      <c r="A99" s="422"/>
      <c r="B99" s="422"/>
      <c r="C99" s="422"/>
      <c r="D99" s="422"/>
      <c r="E99" s="422"/>
      <c r="F99" s="422"/>
      <c r="G99" s="422"/>
      <c r="H99" s="422"/>
      <c r="I99" s="422"/>
      <c r="J99" s="422"/>
      <c r="K99" s="422"/>
      <c r="L99" s="422"/>
      <c r="M99" s="422"/>
      <c r="N99" s="422"/>
      <c r="O99" s="422"/>
      <c r="P99" s="422"/>
      <c r="Q99" s="422"/>
      <c r="R99" s="422"/>
      <c r="S99" s="422"/>
      <c r="T99" s="422"/>
      <c r="U99" s="422"/>
      <c r="V99" s="422"/>
      <c r="W99" s="422"/>
    </row>
  </sheetData>
  <sheetProtection algorithmName="SHA-512" hashValue="wd4hK9S3R5e0MrY7y1FyT6fczfXZNSm5SaHQiZK2Gl8ayIH8Z3LdPBAa6BVR2LehmoBwZMt2r4sRtq1/uEX6Pw==" saltValue="RSA7Qw7Id2yhuUv3TtAKdA==" spinCount="100000" sheet="1" objects="1" scenarios="1"/>
  <mergeCells count="19">
    <mergeCell ref="A21:B21"/>
    <mergeCell ref="A26:B26"/>
    <mergeCell ref="A35:B35"/>
    <mergeCell ref="N4:O4"/>
    <mergeCell ref="Q4:R4"/>
    <mergeCell ref="P5:P6"/>
    <mergeCell ref="Q5:R5"/>
    <mergeCell ref="A9:B9"/>
    <mergeCell ref="D5:E5"/>
    <mergeCell ref="F5:F6"/>
    <mergeCell ref="N5:O5"/>
    <mergeCell ref="A2:B2"/>
    <mergeCell ref="M5:M6"/>
    <mergeCell ref="H5:I5"/>
    <mergeCell ref="J5:J6"/>
    <mergeCell ref="K5:L5"/>
    <mergeCell ref="D4:E4"/>
    <mergeCell ref="H4:I4"/>
    <mergeCell ref="K4:L4"/>
  </mergeCells>
  <conditionalFormatting sqref="A40:B47">
    <cfRule type="expression" dxfId="83" priority="9">
      <formula>$B40=""</formula>
    </cfRule>
  </conditionalFormatting>
  <conditionalFormatting sqref="B12">
    <cfRule type="expression" dxfId="82" priority="17">
      <formula>OR($B$12&lt;#REF!,$B$12&gt;#REF!)</formula>
    </cfRule>
  </conditionalFormatting>
  <conditionalFormatting sqref="B14">
    <cfRule type="expression" dxfId="81" priority="94" stopIfTrue="1">
      <formula>$C$14</formula>
    </cfRule>
  </conditionalFormatting>
  <conditionalFormatting sqref="B16">
    <cfRule type="expression" dxfId="80" priority="96" stopIfTrue="1">
      <formula>$C$16</formula>
    </cfRule>
  </conditionalFormatting>
  <conditionalFormatting sqref="B17">
    <cfRule type="expression" dxfId="79" priority="97" stopIfTrue="1">
      <formula>$C$17</formula>
    </cfRule>
  </conditionalFormatting>
  <conditionalFormatting sqref="B18">
    <cfRule type="expression" dxfId="78" priority="98">
      <formula>$C$18</formula>
    </cfRule>
  </conditionalFormatting>
  <conditionalFormatting sqref="B19:B20">
    <cfRule type="expression" dxfId="77" priority="22" stopIfTrue="1">
      <formula>$B$17="Re-inject"</formula>
    </cfRule>
  </conditionalFormatting>
  <conditionalFormatting sqref="B27">
    <cfRule type="expression" dxfId="76" priority="18">
      <formula>$C$25</formula>
    </cfRule>
  </conditionalFormatting>
  <conditionalFormatting sqref="B32">
    <cfRule type="expression" dxfId="75" priority="27" stopIfTrue="1">
      <formula>$C$29</formula>
    </cfRule>
  </conditionalFormatting>
  <conditionalFormatting sqref="D4:E5">
    <cfRule type="expression" dxfId="72" priority="71" stopIfTrue="1">
      <formula>$D$4=$B$12</formula>
    </cfRule>
  </conditionalFormatting>
  <conditionalFormatting sqref="D4:E8">
    <cfRule type="expression" dxfId="71" priority="13" stopIfTrue="1">
      <formula>$F$74=0</formula>
    </cfRule>
  </conditionalFormatting>
  <conditionalFormatting sqref="D32:I32">
    <cfRule type="expression" dxfId="70" priority="33" stopIfTrue="1">
      <formula>$C$38=FALSE</formula>
    </cfRule>
  </conditionalFormatting>
  <conditionalFormatting sqref="H4:I5">
    <cfRule type="expression" dxfId="69" priority="72" stopIfTrue="1">
      <formula>$B$12=$H$4</formula>
    </cfRule>
  </conditionalFormatting>
  <conditionalFormatting sqref="H4:I8">
    <cfRule type="expression" dxfId="68" priority="10">
      <formula>$J$74=0</formula>
    </cfRule>
  </conditionalFormatting>
  <conditionalFormatting sqref="I32">
    <cfRule type="containsText" dxfId="67" priority="47" stopIfTrue="1" operator="containsText" text="Uneconomic">
      <formula>NOT(ISERROR(SEARCH("Uneconomic",I32)))</formula>
    </cfRule>
  </conditionalFormatting>
  <conditionalFormatting sqref="K4:L5">
    <cfRule type="expression" dxfId="66" priority="73" stopIfTrue="1">
      <formula>$K$4=$B$12</formula>
    </cfRule>
  </conditionalFormatting>
  <conditionalFormatting sqref="K4:L8">
    <cfRule type="expression" dxfId="65" priority="12" stopIfTrue="1">
      <formula>$M$74=0</formula>
    </cfRule>
  </conditionalFormatting>
  <conditionalFormatting sqref="N4:O5">
    <cfRule type="expression" dxfId="64" priority="74" stopIfTrue="1">
      <formula>$B$12=$N$4</formula>
    </cfRule>
  </conditionalFormatting>
  <conditionalFormatting sqref="N4:O8">
    <cfRule type="expression" dxfId="63" priority="11" stopIfTrue="1">
      <formula>$P$74=0</formula>
    </cfRule>
  </conditionalFormatting>
  <conditionalFormatting sqref="Q4:R5">
    <cfRule type="expression" dxfId="62" priority="75" stopIfTrue="1">
      <formula>$B$12=$Q$4</formula>
    </cfRule>
  </conditionalFormatting>
  <conditionalFormatting sqref="S11:S12 S14:S15">
    <cfRule type="cellIs" dxfId="61" priority="48" stopIfTrue="1" operator="greaterThan">
      <formula>0</formula>
    </cfRule>
    <cfRule type="cellIs" dxfId="60" priority="49" stopIfTrue="1" operator="lessThan">
      <formula>0</formula>
    </cfRule>
    <cfRule type="containsText" dxfId="59" priority="50" stopIfTrue="1" operator="containsText" text="Uneconomic">
      <formula>NOT(ISERROR(SEARCH("Uneconomic",S11)))</formula>
    </cfRule>
  </conditionalFormatting>
  <dataValidations xWindow="454" yWindow="841" count="34">
    <dataValidation type="list" allowBlank="1" showInputMessage="1" showErrorMessage="1" prompt="Select whether costs for Federal and Provincial Taxes are flow-through - i.e. get immediate relief" sqref="B38" xr:uid="{00000000-0002-0000-0600-000000000000}">
      <formula1>YesNo</formula1>
    </dataValidation>
    <dataValidation type="list" allowBlank="1" showInputMessage="1" showErrorMessage="1" promptTitle="Reservoir Pressure" prompt="Select whether reservoir is Normally Pressured (0.4-0.5 psi / ft), Overpressured (0.5-0.7 psi / ft) or Severely Overpressured (&gt;0.7 psi / ft).  The well times are adjusted according to the settings in the tables in Sched &amp; Prod Assumptions.  " sqref="B30" xr:uid="{00000000-0002-0000-0600-000001000000}">
      <formula1>pressure</formula1>
    </dataValidation>
    <dataValidation type="list" allowBlank="1" showInputMessage="1" showErrorMessage="1" prompt="Select The Reservoir Complexity: the complexity affects the required number of wells and is defined as a multiplier in Page Sched &amp; Prod Assumptions" sqref="B28" xr:uid="{00000000-0002-0000-0600-000002000000}">
      <formula1>Rescomp</formula1>
    </dataValidation>
    <dataValidation type="list" allowBlank="1" showInputMessage="1" showErrorMessage="1" promptTitle="Areal Extent Factor" prompt="Enter the areal extent factor.  This factor influences the deviation and therefore measured depth of wells and length of subsea flowlines.  It can be adjusted in the Page Sched &amp; Prod Assumptions" sqref="B29" xr:uid="{00000000-0002-0000-0600-000003000000}">
      <formula1>Aerial_Extent</formula1>
    </dataValidation>
    <dataValidation type="decimal" allowBlank="1" showInputMessage="1" showErrorMessage="1" promptTitle="Associated Gas or Liquids" prompt="For Gas the liquids are exported in the wet gas stream, the maximum allowed Condensate Gas Ratio is 100 BBL/MCF.  For Oil gas is used for fuel and any excess reinjected into the reservoir, if there is insufficient gas, oil is used for the remainder." sqref="B32" xr:uid="{00000000-0002-0000-0600-000004000000}">
      <formula1>0</formula1>
      <formula2>C30</formula2>
    </dataValidation>
    <dataValidation type="decimal" allowBlank="1" showInputMessage="1" showErrorMessage="1" promptTitle="Gas Calorific Value" prompt="Enter the Gas calorific value" sqref="B31" xr:uid="{00000000-0002-0000-0600-000005000000}">
      <formula1>800</formula1>
      <formula2>1200</formula2>
    </dataValidation>
    <dataValidation type="list" allowBlank="1" showInputMessage="1" showErrorMessage="1" promptTitle="Gas Sweet or Sour" prompt="Enter whether the gas is Sweet (low H2S) or Sour (high H2S), this affects the costs of materials" sqref="B33" xr:uid="{00000000-0002-0000-0600-000006000000}">
      <formula1>SweetSour</formula1>
    </dataValidation>
    <dataValidation type="decimal" allowBlank="1" showInputMessage="1" showErrorMessage="1" promptTitle="Mean Reserves" prompt="For Gas Field  &lt; 50000 BCF_x000a_For Oil Field &lt; 1000 MMBBLS_x000a_Note: the verified model range for gas is 5000 BCF and for oil is 600 MMBBLS.  Above these reserves, the costs scale appropriately but it is recommended more detail development plans are investigated_x000a_" sqref="B14" xr:uid="{00000000-0002-0000-0600-000007000000}">
      <formula1>0</formula1>
      <formula2>IF($B$13="gas",50000,1000)</formula2>
    </dataValidation>
    <dataValidation type="decimal" allowBlank="1" showInputMessage="1" showErrorMessage="1" promptTitle="Water Depth" prompt="Enter the Water Depth - maximum 4500 Metres" sqref="B15" xr:uid="{B196D677-0549-4853-87F8-D1E7940B7763}">
      <formula1>0</formula1>
      <formula2>4500</formula2>
    </dataValidation>
    <dataValidation type="decimal" allowBlank="1" showInputMessage="1" showErrorMessage="1" prompt="Enter the probability of proceeding to the next stage" sqref="B23:B25" xr:uid="{471D2116-9E9D-40DA-BBCF-4AAEE40CB44B}">
      <formula1>0</formula1>
      <formula2>1</formula2>
    </dataValidation>
    <dataValidation type="list" allowBlank="1" showInputMessage="1" showErrorMessage="1" promptTitle="Gas Export Type" prompt="Select the Gas Export Method:_x000a_To Shore_x000a_To Infrastructure_x000a_Reinject (Oil Projects OnlY)" sqref="B17" xr:uid="{219B2D22-6793-4001-ADC2-657B69D35EAC}">
      <formula1>Infralist</formula1>
    </dataValidation>
    <dataValidation type="decimal" allowBlank="1" showInputMessage="1" showErrorMessage="1" promptTitle="Export Distance" prompt="Applies to Gas only.  If export type, Satellite is distance to mother facility, if Direct Pipeline Tie-in distance to subsea tie-in, If Shore the distance to shore" sqref="B19" xr:uid="{0F7555BF-BAE8-4F9B-A6D4-06AA671C9676}">
      <formula1>0</formula1>
      <formula2>500</formula2>
    </dataValidation>
    <dataValidation type="list" allowBlank="1" showInputMessage="1" showErrorMessage="1" promptTitle="Main Product" prompt="Select whether Main Product is Oil or Gas" sqref="B13" xr:uid="{00FAB7CD-233E-4BDA-8203-EFCD92248A74}">
      <formula1>Product</formula1>
    </dataValidation>
    <dataValidation type="list" allowBlank="1" showInputMessage="1" showErrorMessage="1" promptTitle="Development Type" prompt="Select the development method" sqref="B16" xr:uid="{3186B6AA-AAC0-4FC8-8F7B-E1202AD5DDA3}">
      <formula1>Devellist</formula1>
    </dataValidation>
    <dataValidation type="decimal" allowBlank="1" showInputMessage="1" showErrorMessage="1" promptTitle="Discount Rate" prompt="Enter the discount rate to be applied for the evaluation.  Note if the discount method is selected as Real, then a the discount rate should be lower than the discount rate used for Nominal disocunting, since it backs out the effect of inflation " sqref="B4" xr:uid="{00000000-0002-0000-0600-00000E000000}">
      <formula1>0</formula1>
      <formula2>0.5</formula2>
    </dataValidation>
    <dataValidation type="list" allowBlank="1" showInputMessage="1" showErrorMessage="1" promptTitle="Project Stage" prompt="Enter the Next Proposed Stage of the Project, choices are Seismic, Wildcat, Appraise,Development Planning or Development Start" sqref="B11" xr:uid="{7E01D2DE-AF77-49D0-8A02-1698932A3220}">
      <formula1>Stagelist</formula1>
    </dataValidation>
    <dataValidation type="list" allowBlank="1" showInputMessage="1" showErrorMessage="1" promptTitle="Economic Scenario" prompt="Select the Economic Scenario to Use" sqref="B6" xr:uid="{00000000-0002-0000-0600-000011000000}">
      <formula1>selected_scenario</formula1>
    </dataValidation>
    <dataValidation type="list" allowBlank="1" showInputMessage="1" showErrorMessage="1" promptTitle="Cost Assumptions" prompt="Select the Cost Set from the sheet Cost Assumptions to Use - the unit costs are used whereever costs are nor overridden in sheet Overrides.  Four new Cost Sets can be created in addition to the Nova Scotia Department of Energy Set" sqref="B7" xr:uid="{00000000-0002-0000-0600-000012000000}">
      <formula1>capcostset</formula1>
    </dataValidation>
    <dataValidation type="list" allowBlank="1" showInputMessage="1" showErrorMessage="1" promptTitle="Discount To " prompt="Decision Date discounts to all NPVs to the date at which each decision is to be made for each stage, it therefore reflects the value as perceived by the decision-maker.  Current Month and Year discount all values to the current month and year respectively" sqref="B5" xr:uid="{00000000-0002-0000-0600-000013000000}">
      <formula1>Discountto</formula1>
    </dataValidation>
    <dataValidation allowBlank="1" showInputMessage="1" showErrorMessage="1" promptTitle="Discounted Return on Investment" prompt="This is the Ratio of the risked NPV to the total risked discounted exploration and development expenditure" sqref="D34:H34" xr:uid="{00000000-0002-0000-0600-000014000000}"/>
    <dataValidation allowBlank="1" showInputMessage="1" showErrorMessage="1" promptTitle="Committed DROI" prompt="Committed Discounted Return on Investment.  This is the Risked NPV divided by the committed investment for the current phase, not including the investment for future uncommitted phases." sqref="D35:I35" xr:uid="{00000000-0002-0000-0600-000015000000}"/>
    <dataValidation type="decimal" allowBlank="1" showInputMessage="1" showErrorMessage="1" promptTitle="Reservoir depth" prompt="Enter the reservoir depth below Mean Sea Level (note vertical well drilling length is Reservoir Depth minus Water Depth)" sqref="B27" xr:uid="{00000000-0002-0000-0600-000016000000}">
      <formula1>B15+500</formula1>
      <formula2>B15+7000</formula2>
    </dataValidation>
    <dataValidation allowBlank="1" showInputMessage="1" showErrorMessage="1" promptTitle="Project Name" prompt="Enter the name of the project" sqref="B10" xr:uid="{435B617C-A1BF-4214-8714-44711A370303}"/>
    <dataValidation allowBlank="1" showInputMessage="1" showErrorMessage="1" promptTitle="Risked Discounted Values" prompt="This is Revenue or Cost Stream, adjusted for the chance of occurence and discounted at the specified discount rate to the discount date" sqref="D15:I15" xr:uid="{00000000-0002-0000-0600-000018000000}"/>
    <dataValidation allowBlank="1" showInputMessage="1" showErrorMessage="1" promptTitle="Overall Chance of Success" prompt="The chance of the prospect being developed, calculated as the product of the chances of the remaining project stages" sqref="D11:I11" xr:uid="{00000000-0002-0000-0600-000019000000}"/>
    <dataValidation type="decimal" allowBlank="1" showInputMessage="1" showErrorMessage="1" promptTitle="Deepwater Pipeline Percent" prompt="If a deepwater development enter the percentage of the pipeline in deepwater - if field is shallow water program defaults to 0% deep water" sqref="B20" xr:uid="{5A65829C-1727-4C18-AD07-715EAE07F9E2}">
      <formula1>0</formula1>
      <formula2>1</formula2>
    </dataValidation>
    <dataValidation type="list" allowBlank="1" showInputMessage="1" showErrorMessage="1" prompt="Select whether appraisal wells are retained for development (Yes), are plugged and abandoned (No)" sqref="B34" xr:uid="{00000000-0002-0000-0600-00001B000000}">
      <formula1>YesNo</formula1>
    </dataValidation>
    <dataValidation type="list" allowBlank="1" showInputMessage="1" showErrorMessage="1" prompt="Select whether the prospect is considered Small Reserves for Royalty purposes" sqref="B36" xr:uid="{00000000-0002-0000-0600-00001C000000}">
      <formula1>YesNo</formula1>
    </dataValidation>
    <dataValidation type="list" allowBlank="1" showInputMessage="1" showErrorMessage="1" prompt="Select whether the Licence is classified as High Risk and therefore does not pay the highest royalty tier" sqref="B37" xr:uid="{00000000-0002-0000-0600-00001D000000}">
      <formula1>YesNo</formula1>
    </dataValidation>
    <dataValidation type="decimal" allowBlank="1" showInputMessage="1" showErrorMessage="1" prompt="Enter the probability of proceeding to the next stage of prospect evaluation" sqref="B22" xr:uid="{29C17D6E-63BB-423C-A671-5182FD4ABD24}">
      <formula1>0</formula1>
      <formula2>1</formula2>
    </dataValidation>
    <dataValidation allowBlank="1" showInputMessage="1" showErrorMessage="1" promptTitle="Discounted Return on Investment" prompt="This is the Ratio of the risked NPV to the total field life, risked discounted exploration and development expenditure" sqref="I34" xr:uid="{00000000-0002-0000-0600-00001F000000}"/>
    <dataValidation type="list" allowBlank="1" showInputMessage="1" showErrorMessage="1" promptTitle="Discount Method" prompt="Select Nominal or Real.  Nominal discounts the inflated (Nominal) cash flows directly at the specified interest rate.  Real first &quot;deflates&quot; the cash flows to the current year and then discounts the cash flows at the specified interest rate" sqref="B3" xr:uid="{DF57EF55-01CA-4CDC-B8F2-420E7B61A20E}">
      <formula1>DiscType</formula1>
    </dataValidation>
    <dataValidation type="list" allowBlank="1" showInputMessage="1" showErrorMessage="1" promptTitle="Onshore Gas Plant" prompt="Select Required if First Gas Development" sqref="B18" xr:uid="{DFB56507-8877-423C-AF82-197FDC1DFAF9}">
      <formula1>OnPlant</formula1>
    </dataValidation>
    <dataValidation type="decimal" allowBlank="1" showInputMessage="1" showErrorMessage="1" prompt="Enter the Owner's share of the prospect - between 0% and 100%" sqref="B8" xr:uid="{CE9D5BC3-2803-4C09-A3F1-2F77230EB0BF}">
      <formula1>0</formula1>
      <formula2>1</formula2>
    </dataValidation>
  </dataValidations>
  <hyperlinks>
    <hyperlink ref="A6" location="'Economic Assumptions'!A1" display="Economic Scenario" xr:uid="{00000000-0004-0000-0600-000000000000}"/>
    <hyperlink ref="A7" location="'Cost Assumptions'!A1" display="Cost Set" xr:uid="{00000000-0004-0000-0600-000001000000}"/>
    <hyperlink ref="B1" location="Guide" display="Guide" xr:uid="{00000000-0004-0000-0600-000002000000}"/>
  </hyperlinks>
  <pageMargins left="0.7" right="0.7" top="0.75" bottom="0.75" header="0.3" footer="0.3"/>
  <pageSetup paperSize="9" scale="54" orientation="landscape" r:id="rId1"/>
  <headerFooter>
    <oddFooter>&amp;LNova Scotia Exploration Economics Model&amp;Rwww.indeva.com</oddFooter>
  </headerFooter>
  <colBreaks count="1" manualBreakCount="1">
    <brk id="22" max="36" man="1"/>
  </colBreaks>
  <drawing r:id="rId2"/>
  <extLst>
    <ext xmlns:x14="http://schemas.microsoft.com/office/spreadsheetml/2009/9/main" uri="{78C0D931-6437-407d-A8EE-F0AAD7539E65}">
      <x14:conditionalFormattings>
        <x14:conditionalFormatting xmlns:xm="http://schemas.microsoft.com/office/excel/2006/main">
          <x14:cfRule type="expression" priority="99" id="{3A0F810A-F08C-4261-AE53-365983300733}">
            <xm:f>Lists!$N46=Lists!P$54</xm:f>
            <x14:dxf>
              <fill>
                <patternFill>
                  <bgColor theme="0" tint="-4.9989318521683403E-2"/>
                </patternFill>
              </fill>
              <border>
                <left style="thin">
                  <color auto="1"/>
                </left>
                <right style="thin">
                  <color auto="1"/>
                </right>
                <top style="thin">
                  <color auto="1"/>
                </top>
                <bottom style="thin">
                  <color auto="1"/>
                </bottom>
                <vertical/>
                <horizontal/>
              </border>
            </x14:dxf>
          </x14:cfRule>
          <xm:sqref>A40:A47</xm:sqref>
        </x14:conditionalFormatting>
        <x14:conditionalFormatting xmlns:xm="http://schemas.microsoft.com/office/excel/2006/main">
          <x14:cfRule type="expression" priority="100" id="{3A0F810A-F08C-4261-AE53-365983300733}">
            <xm:f>Lists!$N53=Lists!P$54</xm:f>
            <x14:dxf>
              <fill>
                <patternFill>
                  <bgColor theme="0" tint="-4.9989318521683403E-2"/>
                </patternFill>
              </fill>
              <border>
                <left style="thin">
                  <color auto="1"/>
                </left>
                <right style="thin">
                  <color auto="1"/>
                </right>
                <top style="thin">
                  <color auto="1"/>
                </top>
                <bottom style="thin">
                  <color auto="1"/>
                </bottom>
                <vertical/>
                <horizontal/>
              </border>
            </x14:dxf>
          </x14:cfRule>
          <xm:sqref>A46:A47</xm:sqref>
        </x14:conditionalFormatting>
        <x14:conditionalFormatting xmlns:xm="http://schemas.microsoft.com/office/excel/2006/main">
          <x14:cfRule type="expression" priority="101" id="{53C42229-71F5-4564-9D6A-1377C758905A}">
            <xm:f>Lists!$N46=Lists!P$54</xm:f>
            <x14:dxf>
              <fill>
                <patternFill>
                  <bgColor theme="0" tint="-4.9989318521683403E-2"/>
                </patternFill>
              </fill>
              <border>
                <left style="thin">
                  <color auto="1"/>
                </left>
                <right style="thin">
                  <color auto="1"/>
                </right>
                <top style="thin">
                  <color auto="1"/>
                </top>
                <bottom style="thin">
                  <color auto="1"/>
                </bottom>
                <vertical/>
                <horizontal/>
              </border>
            </x14:dxf>
          </x14:cfRule>
          <xm:sqref>B40:B47</xm:sqref>
        </x14:conditionalFormatting>
        <x14:conditionalFormatting xmlns:xm="http://schemas.microsoft.com/office/excel/2006/main">
          <x14:cfRule type="expression" priority="102" id="{53C42229-71F5-4564-9D6A-1377C758905A}">
            <xm:f>Lists!$N53=Lists!P$54</xm:f>
            <x14:dxf>
              <fill>
                <patternFill>
                  <bgColor theme="0" tint="-4.9989318521683403E-2"/>
                </patternFill>
              </fill>
              <border>
                <left style="thin">
                  <color auto="1"/>
                </left>
                <right style="thin">
                  <color auto="1"/>
                </right>
                <top style="thin">
                  <color auto="1"/>
                </top>
                <bottom style="thin">
                  <color auto="1"/>
                </bottom>
                <vertical/>
                <horizontal/>
              </border>
            </x14:dxf>
          </x14:cfRule>
          <xm:sqref>B46:B47</xm:sqref>
        </x14:conditionalFormatting>
      </x14:conditionalFormattings>
    </ext>
    <ext xmlns:x14="http://schemas.microsoft.com/office/spreadsheetml/2009/9/main" uri="{CCE6A557-97BC-4b89-ADB6-D9C93CAAB3DF}">
      <x14:dataValidations xmlns:xm="http://schemas.microsoft.com/office/excel/2006/main" xWindow="454" yWindow="841" count="1">
        <x14:dataValidation type="date" allowBlank="1" showInputMessage="1" showErrorMessage="1" promptTitle="Project Start Date" prompt="Start Date must be after the first year and not later than 20 years after, the start year of economic assumptions.  If a later date is desired, first adjust the start year of economic assumptions" xr:uid="{00000000-0002-0000-0600-000010000000}">
          <x14:formula1>
            <xm:f>Lists!O10</xm:f>
          </x14:formula1>
          <x14:formula2>
            <xm:f>Lists!O11</xm:f>
          </x14:formula2>
          <xm:sqref>B12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tabColor rgb="FFFF0000"/>
    <pageSetUpPr fitToPage="1"/>
  </sheetPr>
  <dimension ref="A1:BP103"/>
  <sheetViews>
    <sheetView showGridLines="0" showRowColHeaders="0" showZeros="0" topLeftCell="B1" zoomScale="79" zoomScaleNormal="80" zoomScaleSheetLayoutView="70" workbookViewId="0">
      <pane xSplit="11" ySplit="3" topLeftCell="M6" activePane="bottomRight" state="frozen"/>
      <selection activeCell="D43" sqref="D43"/>
      <selection pane="topRight" activeCell="D43" sqref="D43"/>
      <selection pane="bottomLeft" activeCell="D43" sqref="D43"/>
      <selection pane="bottomRight" activeCell="B1" sqref="B1"/>
    </sheetView>
  </sheetViews>
  <sheetFormatPr defaultRowHeight="15"/>
  <cols>
    <col min="1" max="1" width="4.140625" hidden="1" customWidth="1"/>
    <col min="2" max="2" width="31.140625" customWidth="1"/>
    <col min="3" max="3" width="32" customWidth="1"/>
    <col min="4" max="4" width="1.140625" customWidth="1"/>
    <col min="5" max="5" width="27.5703125" customWidth="1"/>
    <col min="6" max="6" width="11.5703125" customWidth="1"/>
    <col min="7" max="7" width="13.140625" customWidth="1"/>
    <col min="8" max="8" width="11" customWidth="1"/>
    <col min="9" max="9" width="11.7109375" customWidth="1"/>
    <col min="10" max="10" width="12" customWidth="1"/>
    <col min="11" max="11" width="11.140625" customWidth="1"/>
    <col min="12" max="12" width="10.5703125" customWidth="1"/>
    <col min="13" max="20" width="10.28515625" customWidth="1"/>
    <col min="21" max="21" width="9.7109375" customWidth="1"/>
    <col min="22" max="25" width="9.5703125" customWidth="1"/>
    <col min="26" max="52" width="9.7109375" customWidth="1"/>
    <col min="53" max="53" width="8.7109375" customWidth="1"/>
  </cols>
  <sheetData>
    <row r="1" spans="1:68" ht="23.25">
      <c r="B1" s="230" t="str">
        <f>Input!B10&amp;" "&amp;C2&amp;" Cash Flow"</f>
        <v>Prospect X  Cash Flow</v>
      </c>
      <c r="C1" s="14"/>
      <c r="D1" s="14"/>
      <c r="E1" s="93" t="s">
        <v>756</v>
      </c>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row>
    <row r="2" spans="1:68" ht="32.25" customHeight="1">
      <c r="B2" s="595" t="s">
        <v>1</v>
      </c>
      <c r="C2" s="596"/>
      <c r="D2" s="14"/>
      <c r="E2" s="93" t="s">
        <v>139</v>
      </c>
      <c r="F2" s="599" t="s">
        <v>79</v>
      </c>
      <c r="G2" s="597" t="s">
        <v>1111</v>
      </c>
      <c r="H2" s="597" t="str">
        <f>"Disc @ "&amp;FIXED(Input!B4*100,1)&amp;"% "&amp;Input!B3</f>
        <v>Disc @ 10.0% Nominal</v>
      </c>
      <c r="I2" s="599" t="s">
        <v>124</v>
      </c>
      <c r="J2" s="597" t="s">
        <v>125</v>
      </c>
      <c r="K2" s="597" t="str">
        <f>H2</f>
        <v>Disc @ 10.0% Nominal</v>
      </c>
      <c r="L2" s="231"/>
      <c r="M2" s="232" t="s">
        <v>126</v>
      </c>
      <c r="N2" s="233"/>
      <c r="O2" s="23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row>
    <row r="3" spans="1:68" ht="17.25" customHeight="1">
      <c r="A3" s="9"/>
      <c r="B3" s="235" t="s">
        <v>64</v>
      </c>
      <c r="C3" s="236" t="str">
        <f>ROUND(Input!B4*100,1)&amp;"% "&amp;Input!B3</f>
        <v>10% Nominal</v>
      </c>
      <c r="D3" s="237"/>
      <c r="E3" s="14"/>
      <c r="F3" s="600"/>
      <c r="G3" s="598"/>
      <c r="H3" s="598"/>
      <c r="I3" s="600"/>
      <c r="J3" s="598"/>
      <c r="K3" s="598"/>
      <c r="L3" s="238" t="s">
        <v>63</v>
      </c>
      <c r="M3" s="239">
        <f t="array" ref="M3:AZ3">TRANSPOSE('Success Cash Flow'!A10:A49)</f>
        <v>2023</v>
      </c>
      <c r="N3" s="239">
        <v>2024</v>
      </c>
      <c r="O3" s="239">
        <v>2025</v>
      </c>
      <c r="P3" s="239">
        <v>2026</v>
      </c>
      <c r="Q3" s="239">
        <v>2027</v>
      </c>
      <c r="R3" s="239">
        <v>2028</v>
      </c>
      <c r="S3" s="239">
        <v>2029</v>
      </c>
      <c r="T3" s="239">
        <v>2030</v>
      </c>
      <c r="U3" s="239">
        <v>2031</v>
      </c>
      <c r="V3" s="239">
        <v>2032</v>
      </c>
      <c r="W3" s="239">
        <v>2033</v>
      </c>
      <c r="X3" s="239">
        <v>2034</v>
      </c>
      <c r="Y3" s="239">
        <v>2035</v>
      </c>
      <c r="Z3" s="239">
        <v>2036</v>
      </c>
      <c r="AA3" s="239">
        <v>2037</v>
      </c>
      <c r="AB3" s="239">
        <v>2038</v>
      </c>
      <c r="AC3" s="239">
        <v>2039</v>
      </c>
      <c r="AD3" s="239">
        <v>2040</v>
      </c>
      <c r="AE3" s="239">
        <v>2041</v>
      </c>
      <c r="AF3" s="239">
        <v>2042</v>
      </c>
      <c r="AG3" s="239">
        <v>2043</v>
      </c>
      <c r="AH3" s="239">
        <v>2044</v>
      </c>
      <c r="AI3" s="239">
        <v>2045</v>
      </c>
      <c r="AJ3" s="239">
        <v>2046</v>
      </c>
      <c r="AK3" s="239">
        <v>2047</v>
      </c>
      <c r="AL3" s="239">
        <v>2048</v>
      </c>
      <c r="AM3" s="239">
        <v>2049</v>
      </c>
      <c r="AN3" s="239">
        <v>2050</v>
      </c>
      <c r="AO3" s="239">
        <v>2051</v>
      </c>
      <c r="AP3" s="239">
        <v>2052</v>
      </c>
      <c r="AQ3" s="239">
        <v>2053</v>
      </c>
      <c r="AR3" s="239">
        <v>2054</v>
      </c>
      <c r="AS3" s="239">
        <v>2055</v>
      </c>
      <c r="AT3" s="239" t="str">
        <v/>
      </c>
      <c r="AU3" s="239" t="str">
        <v/>
      </c>
      <c r="AV3" s="239" t="str">
        <v/>
      </c>
      <c r="AW3" s="239" t="str">
        <v/>
      </c>
      <c r="AX3" s="239" t="str">
        <v/>
      </c>
      <c r="AY3" s="239" t="str">
        <v/>
      </c>
      <c r="AZ3" s="239" t="str">
        <v/>
      </c>
      <c r="BA3" s="14"/>
      <c r="BB3" s="14"/>
      <c r="BC3" s="14"/>
      <c r="BD3" s="14"/>
      <c r="BE3" s="14"/>
      <c r="BF3" s="14"/>
      <c r="BG3" s="14"/>
      <c r="BH3" s="14"/>
      <c r="BI3" s="14"/>
      <c r="BJ3" s="14"/>
      <c r="BK3" s="14"/>
      <c r="BL3" s="14"/>
      <c r="BM3" s="14"/>
      <c r="BN3" s="14"/>
      <c r="BO3" s="14"/>
      <c r="BP3" s="14"/>
    </row>
    <row r="4" spans="1:68" ht="15.75" customHeight="1">
      <c r="A4" s="9"/>
      <c r="B4" s="235" t="s">
        <v>65</v>
      </c>
      <c r="C4" s="240">
        <f ca="1">Input!I14</f>
        <v>46023</v>
      </c>
      <c r="D4" s="237"/>
      <c r="E4" s="241" t="str">
        <f>IF(Input!B13="Oil","Associated ","")&amp;"Gas Sales (bcf)"</f>
        <v>Associated Gas Sales (bcf)</v>
      </c>
      <c r="F4" s="242">
        <f>prod_year</f>
        <v>47987</v>
      </c>
      <c r="G4" s="243">
        <f>SUM(M4:AZ4)</f>
        <v>915.52081985151744</v>
      </c>
      <c r="H4" s="243"/>
      <c r="I4" s="244">
        <f ca="1">I14</f>
        <v>1</v>
      </c>
      <c r="J4" s="243">
        <f ca="1">I4*G4</f>
        <v>915.52081985151744</v>
      </c>
      <c r="K4" s="245"/>
      <c r="L4" s="246"/>
      <c r="M4" s="247">
        <f t="array" ref="M4:AZ4">TRANSPOSE(Production!AB31:AB70)*Input!$B$8</f>
        <v>0</v>
      </c>
      <c r="N4" s="247">
        <v>0</v>
      </c>
      <c r="O4" s="247">
        <v>0</v>
      </c>
      <c r="P4" s="247">
        <v>0</v>
      </c>
      <c r="Q4" s="247">
        <v>0</v>
      </c>
      <c r="R4" s="247">
        <v>0</v>
      </c>
      <c r="S4" s="247">
        <v>0</v>
      </c>
      <c r="T4" s="247">
        <v>0</v>
      </c>
      <c r="U4" s="247">
        <v>53.987921166340143</v>
      </c>
      <c r="V4" s="247">
        <v>92.743096438356162</v>
      </c>
      <c r="W4" s="247">
        <v>92.489700000000013</v>
      </c>
      <c r="X4" s="247">
        <v>92.489700000000013</v>
      </c>
      <c r="Y4" s="247">
        <v>89.985018206353217</v>
      </c>
      <c r="Z4" s="247">
        <v>77.800430887198431</v>
      </c>
      <c r="AA4" s="247">
        <v>65.934603566500485</v>
      </c>
      <c r="AB4" s="247">
        <v>56.044413031525387</v>
      </c>
      <c r="AC4" s="247">
        <v>47.637751076796562</v>
      </c>
      <c r="AD4" s="247">
        <v>40.59423227130214</v>
      </c>
      <c r="AE4" s="247">
        <v>34.402953574581758</v>
      </c>
      <c r="AF4" s="247">
        <v>29.24251053839453</v>
      </c>
      <c r="AG4" s="247">
        <v>24.856133957635326</v>
      </c>
      <c r="AH4" s="247">
        <v>21.181009859517069</v>
      </c>
      <c r="AI4" s="247">
        <v>17.950562385062501</v>
      </c>
      <c r="AJ4" s="247">
        <v>15.257978027303089</v>
      </c>
      <c r="AK4" s="247">
        <v>12.969281323207612</v>
      </c>
      <c r="AL4" s="247">
        <v>11.051697582814514</v>
      </c>
      <c r="AM4" s="247">
        <v>9.3661344873043006</v>
      </c>
      <c r="AN4" s="247">
        <v>7.9612143142086804</v>
      </c>
      <c r="AO4" s="247">
        <v>6.767032167077371</v>
      </c>
      <c r="AP4" s="247">
        <v>5.7664870689396048</v>
      </c>
      <c r="AQ4" s="247">
        <v>4.8870042816748276</v>
      </c>
      <c r="AR4" s="247">
        <v>4.1539536394235874</v>
      </c>
      <c r="AS4" s="247">
        <v>0</v>
      </c>
      <c r="AT4" s="247">
        <v>0</v>
      </c>
      <c r="AU4" s="247">
        <v>0</v>
      </c>
      <c r="AV4" s="247">
        <v>0</v>
      </c>
      <c r="AW4" s="247">
        <v>0</v>
      </c>
      <c r="AX4" s="247">
        <v>0</v>
      </c>
      <c r="AY4" s="247">
        <v>0</v>
      </c>
      <c r="AZ4" s="247">
        <v>0</v>
      </c>
      <c r="BA4" s="14"/>
      <c r="BB4" s="14"/>
      <c r="BC4" s="14"/>
      <c r="BD4" s="14"/>
      <c r="BE4" s="14"/>
      <c r="BF4" s="14"/>
      <c r="BG4" s="14"/>
      <c r="BH4" s="14"/>
      <c r="BI4" s="14"/>
      <c r="BJ4" s="14"/>
      <c r="BK4" s="14"/>
      <c r="BL4" s="14"/>
      <c r="BM4" s="14"/>
      <c r="BN4" s="14"/>
      <c r="BO4" s="14"/>
      <c r="BP4" s="14"/>
    </row>
    <row r="5" spans="1:68" ht="15.75">
      <c r="A5" s="9"/>
      <c r="B5" s="235" t="s">
        <v>72</v>
      </c>
      <c r="C5" s="248" t="str">
        <f>Input!B6</f>
        <v>Scenario 1 : Base</v>
      </c>
      <c r="D5" s="237"/>
      <c r="E5" s="241" t="str">
        <f>IF(Input!B13="Oil","Oil","Gas Liquids")&amp;" Sales (mbbl)"</f>
        <v>Oil Sales (mbbl)</v>
      </c>
      <c r="F5" s="242">
        <f>F4</f>
        <v>47987</v>
      </c>
      <c r="G5" s="243">
        <f>SUM(M5:AZ5)</f>
        <v>287.06011345797424</v>
      </c>
      <c r="H5" s="243"/>
      <c r="I5" s="244">
        <f ca="1">I4</f>
        <v>1</v>
      </c>
      <c r="J5" s="243">
        <f ca="1">I5*G5</f>
        <v>287.06011345797424</v>
      </c>
      <c r="K5" s="249"/>
      <c r="L5" s="246"/>
      <c r="M5" s="247">
        <f t="array" ref="M5:AZ5">(TRANSPOSE(Production!AC31:AC70)+TRANSPOSE(Production!AD31:AD70))*Input!$B$8</f>
        <v>0</v>
      </c>
      <c r="N5" s="247">
        <v>0</v>
      </c>
      <c r="O5" s="247">
        <v>0</v>
      </c>
      <c r="P5" s="247">
        <v>0</v>
      </c>
      <c r="Q5" s="247">
        <v>0</v>
      </c>
      <c r="R5" s="247">
        <v>0</v>
      </c>
      <c r="S5" s="247">
        <v>0</v>
      </c>
      <c r="T5" s="247">
        <v>0</v>
      </c>
      <c r="U5" s="247">
        <v>16.927827788649591</v>
      </c>
      <c r="V5" s="247">
        <v>29.079452054794519</v>
      </c>
      <c r="W5" s="247">
        <v>29</v>
      </c>
      <c r="X5" s="247">
        <v>29</v>
      </c>
      <c r="Y5" s="247">
        <v>28.214660962077325</v>
      </c>
      <c r="Z5" s="247">
        <v>24.394202767754187</v>
      </c>
      <c r="AA5" s="247">
        <v>20.67369126971451</v>
      </c>
      <c r="AB5" s="247">
        <v>17.572637579257325</v>
      </c>
      <c r="AC5" s="247">
        <v>14.936741942368721</v>
      </c>
      <c r="AD5" s="247">
        <v>12.728257696454436</v>
      </c>
      <c r="AE5" s="247">
        <v>10.786991996545247</v>
      </c>
      <c r="AF5" s="247">
        <v>9.1689431970634718</v>
      </c>
      <c r="AG5" s="247">
        <v>7.7936017175039414</v>
      </c>
      <c r="AH5" s="247">
        <v>6.6412723354708145</v>
      </c>
      <c r="AI5" s="247">
        <v>5.6283706095577406</v>
      </c>
      <c r="AJ5" s="247">
        <v>4.7841150181240675</v>
      </c>
      <c r="AK5" s="247">
        <v>4.0664977654054528</v>
      </c>
      <c r="AL5" s="247">
        <v>3.4652423989008598</v>
      </c>
      <c r="AM5" s="247">
        <v>2.9367367407595086</v>
      </c>
      <c r="AN5" s="247">
        <v>2.4962262296455897</v>
      </c>
      <c r="AO5" s="247">
        <v>2.1217922951987491</v>
      </c>
      <c r="AP5" s="247">
        <v>1.8080729529801538</v>
      </c>
      <c r="AQ5" s="247">
        <v>1.5323125079719147</v>
      </c>
      <c r="AR5" s="247">
        <v>1.3024656317761225</v>
      </c>
      <c r="AS5" s="247">
        <v>0</v>
      </c>
      <c r="AT5" s="247">
        <v>0</v>
      </c>
      <c r="AU5" s="247">
        <v>0</v>
      </c>
      <c r="AV5" s="247">
        <v>0</v>
      </c>
      <c r="AW5" s="247">
        <v>0</v>
      </c>
      <c r="AX5" s="247">
        <v>0</v>
      </c>
      <c r="AY5" s="247">
        <v>0</v>
      </c>
      <c r="AZ5" s="247">
        <v>0</v>
      </c>
      <c r="BA5" s="14"/>
      <c r="BB5" s="14"/>
      <c r="BC5" s="14"/>
      <c r="BD5" s="14"/>
      <c r="BE5" s="14"/>
      <c r="BF5" s="14"/>
      <c r="BG5" s="14"/>
      <c r="BH5" s="14"/>
      <c r="BI5" s="14"/>
      <c r="BJ5" s="14"/>
      <c r="BK5" s="14"/>
      <c r="BL5" s="14"/>
      <c r="BM5" s="14"/>
      <c r="BN5" s="14"/>
      <c r="BO5" s="14"/>
      <c r="BP5" s="14"/>
    </row>
    <row r="6" spans="1:68" ht="15.75">
      <c r="A6" s="9"/>
      <c r="B6" s="235" t="s">
        <v>73</v>
      </c>
      <c r="C6" s="248" t="str">
        <f>Input!B7</f>
        <v>NS Subsurface Energy Develop : NS NRR</v>
      </c>
      <c r="D6" s="237"/>
      <c r="E6" s="241" t="str">
        <f>IF(Input!B13="Oil","Associated ","")&amp;"Gas Revenue"</f>
        <v>Associated Gas Revenue</v>
      </c>
      <c r="F6" s="242"/>
      <c r="G6" s="243">
        <f>SUM(M6:AZ6)</f>
        <v>4939.3814509244821</v>
      </c>
      <c r="H6" s="243">
        <f ca="1">SUMPRODUCT(M6:AZ6,'Risked Cash Flow'!$AP$4:$CC$4)</f>
        <v>1671.5189173005642</v>
      </c>
      <c r="I6" s="244">
        <f ca="1">I5</f>
        <v>1</v>
      </c>
      <c r="J6" s="243">
        <f ca="1">I6*G6</f>
        <v>4939.3814509244821</v>
      </c>
      <c r="K6" s="243">
        <f ca="1">SUMPRODUCT(M6:AZ6,'Risked Cash Flow'!$AP$4:$CC$4)*I6</f>
        <v>1671.5189173005642</v>
      </c>
      <c r="L6" s="245"/>
      <c r="M6" s="250">
        <f t="array" ref="M6:AZ6">TRANSPOSE(Revenue!N11:N50)*Input!$B$8</f>
        <v>0</v>
      </c>
      <c r="N6" s="250">
        <v>0</v>
      </c>
      <c r="O6" s="250">
        <v>0</v>
      </c>
      <c r="P6" s="250">
        <v>0</v>
      </c>
      <c r="Q6" s="250">
        <v>0</v>
      </c>
      <c r="R6" s="250">
        <v>0</v>
      </c>
      <c r="S6" s="250">
        <v>0</v>
      </c>
      <c r="T6" s="250">
        <v>0</v>
      </c>
      <c r="U6" s="250">
        <v>239.20228117098182</v>
      </c>
      <c r="V6" s="250">
        <v>423.2408017237907</v>
      </c>
      <c r="W6" s="250">
        <v>434.74693827338564</v>
      </c>
      <c r="X6" s="250">
        <v>447.78934642158731</v>
      </c>
      <c r="Y6" s="250">
        <v>448.73280446437002</v>
      </c>
      <c r="Z6" s="250">
        <v>399.61045097867867</v>
      </c>
      <c r="AA6" s="250">
        <v>348.82327844233606</v>
      </c>
      <c r="AB6" s="250">
        <v>305.39478027626507</v>
      </c>
      <c r="AC6" s="250">
        <v>267.37313013186991</v>
      </c>
      <c r="AD6" s="250">
        <v>234.67567010219025</v>
      </c>
      <c r="AE6" s="250">
        <v>204.85033966257731</v>
      </c>
      <c r="AF6" s="250">
        <v>179.34647237458674</v>
      </c>
      <c r="AG6" s="250">
        <v>157.01783656395048</v>
      </c>
      <c r="AH6" s="250">
        <v>137.81589045790599</v>
      </c>
      <c r="AI6" s="250">
        <v>120.30063431334459</v>
      </c>
      <c r="AJ6" s="250">
        <v>105.32320534133297</v>
      </c>
      <c r="AK6" s="250">
        <v>92.210466276336888</v>
      </c>
      <c r="AL6" s="250">
        <v>80.933910423841354</v>
      </c>
      <c r="AM6" s="250">
        <v>70.647881961197513</v>
      </c>
      <c r="AN6" s="250">
        <v>61.85222065702861</v>
      </c>
      <c r="AO6" s="250">
        <v>54.151619185228498</v>
      </c>
      <c r="AP6" s="250">
        <v>47.529336673226638</v>
      </c>
      <c r="AQ6" s="250">
        <v>41.488752358554081</v>
      </c>
      <c r="AR6" s="250">
        <v>36.323402689913962</v>
      </c>
      <c r="AS6" s="250">
        <v>0</v>
      </c>
      <c r="AT6" s="250">
        <v>0</v>
      </c>
      <c r="AU6" s="250">
        <v>0</v>
      </c>
      <c r="AV6" s="250">
        <v>0</v>
      </c>
      <c r="AW6" s="250">
        <v>0</v>
      </c>
      <c r="AX6" s="250">
        <v>0</v>
      </c>
      <c r="AY6" s="250">
        <v>0</v>
      </c>
      <c r="AZ6" s="250">
        <v>0</v>
      </c>
      <c r="BA6" s="14"/>
      <c r="BB6" s="14"/>
      <c r="BC6" s="14"/>
      <c r="BD6" s="14"/>
      <c r="BE6" s="14"/>
      <c r="BF6" s="14"/>
      <c r="BG6" s="14"/>
      <c r="BH6" s="14"/>
      <c r="BI6" s="14"/>
      <c r="BJ6" s="14"/>
      <c r="BK6" s="14"/>
      <c r="BL6" s="14"/>
      <c r="BM6" s="14"/>
      <c r="BN6" s="14"/>
      <c r="BO6" s="14"/>
      <c r="BP6" s="14"/>
    </row>
    <row r="7" spans="1:68" ht="15.75">
      <c r="A7" s="9"/>
      <c r="B7" s="461" t="str">
        <f>Input!A8</f>
        <v>Owner Share</v>
      </c>
      <c r="C7" s="462">
        <f>Input!B8</f>
        <v>1</v>
      </c>
      <c r="D7" s="237"/>
      <c r="E7" s="241" t="str">
        <f>IF(Input!B13="Oil","Oil","Gas Liquids")&amp;" Revenue"</f>
        <v>Oil Revenue</v>
      </c>
      <c r="F7" s="242"/>
      <c r="G7" s="243">
        <f>SUM(M7:AZ7)</f>
        <v>47281.531513781636</v>
      </c>
      <c r="H7" s="243">
        <f ca="1">SUMPRODUCT(M7:AZ7,'Risked Cash Flow'!$AP$4:$CC$4)</f>
        <v>16000.37882262297</v>
      </c>
      <c r="I7" s="244">
        <f ca="1">I6</f>
        <v>1</v>
      </c>
      <c r="J7" s="243">
        <f ca="1">I7*G7</f>
        <v>47281.531513781636</v>
      </c>
      <c r="K7" s="243">
        <f ca="1">SUMPRODUCT(M7:AZ7,'Risked Cash Flow'!$AP$4:$CC$4)*I7</f>
        <v>16000.37882262297</v>
      </c>
      <c r="L7" s="246"/>
      <c r="M7" s="247">
        <f t="array" ref="M7:AZ7">(TRANSPOSE(Revenue!O11:O50)+TRANSPOSE(Revenue!P11:P50))*Input!$B$8</f>
        <v>0</v>
      </c>
      <c r="N7" s="247">
        <v>0</v>
      </c>
      <c r="O7" s="247">
        <v>0</v>
      </c>
      <c r="P7" s="247">
        <v>0</v>
      </c>
      <c r="Q7" s="247">
        <v>0</v>
      </c>
      <c r="R7" s="247">
        <v>0</v>
      </c>
      <c r="S7" s="247">
        <v>0</v>
      </c>
      <c r="T7" s="247">
        <v>0</v>
      </c>
      <c r="U7" s="247">
        <v>2289.7300618961954</v>
      </c>
      <c r="V7" s="247">
        <v>4051.4128142251816</v>
      </c>
      <c r="W7" s="247">
        <v>4161.5536817157299</v>
      </c>
      <c r="X7" s="247">
        <v>4286.4002921672018</v>
      </c>
      <c r="Y7" s="247">
        <v>4295.4314110684218</v>
      </c>
      <c r="Z7" s="247">
        <v>3825.2146182491233</v>
      </c>
      <c r="AA7" s="247">
        <v>3339.0615801347039</v>
      </c>
      <c r="AB7" s="247">
        <v>2923.3484134079317</v>
      </c>
      <c r="AC7" s="247">
        <v>2559.3915359386438</v>
      </c>
      <c r="AD7" s="247">
        <v>2246.3997165834971</v>
      </c>
      <c r="AE7" s="247">
        <v>1960.9009521935609</v>
      </c>
      <c r="AF7" s="247">
        <v>1716.768783645465</v>
      </c>
      <c r="AG7" s="247">
        <v>1503.0310700816028</v>
      </c>
      <c r="AH7" s="247">
        <v>1319.2231522361501</v>
      </c>
      <c r="AI7" s="247">
        <v>1151.5608358916536</v>
      </c>
      <c r="AJ7" s="247">
        <v>1008.1915118231406</v>
      </c>
      <c r="AK7" s="247">
        <v>882.67166860115844</v>
      </c>
      <c r="AL7" s="247">
        <v>774.72842991751816</v>
      </c>
      <c r="AM7" s="247">
        <v>676.26687481386796</v>
      </c>
      <c r="AN7" s="247">
        <v>592.07164889954311</v>
      </c>
      <c r="AO7" s="247">
        <v>518.35872861154951</v>
      </c>
      <c r="AP7" s="247">
        <v>454.96786431096439</v>
      </c>
      <c r="AQ7" s="247">
        <v>397.14522387035021</v>
      </c>
      <c r="AR7" s="247">
        <v>347.70064349849031</v>
      </c>
      <c r="AS7" s="247">
        <v>0</v>
      </c>
      <c r="AT7" s="247">
        <v>0</v>
      </c>
      <c r="AU7" s="247">
        <v>0</v>
      </c>
      <c r="AV7" s="247">
        <v>0</v>
      </c>
      <c r="AW7" s="247">
        <v>0</v>
      </c>
      <c r="AX7" s="247">
        <v>0</v>
      </c>
      <c r="AY7" s="247">
        <v>0</v>
      </c>
      <c r="AZ7" s="247">
        <v>0</v>
      </c>
      <c r="BA7" s="14"/>
      <c r="BB7" s="14"/>
      <c r="BC7" s="14"/>
      <c r="BD7" s="14"/>
      <c r="BE7" s="14"/>
      <c r="BF7" s="14"/>
      <c r="BG7" s="14"/>
      <c r="BH7" s="14"/>
      <c r="BI7" s="14"/>
      <c r="BJ7" s="14"/>
      <c r="BK7" s="14"/>
      <c r="BL7" s="14"/>
      <c r="BM7" s="14"/>
      <c r="BN7" s="14"/>
      <c r="BO7" s="14"/>
      <c r="BP7" s="14"/>
    </row>
    <row r="8" spans="1:68" ht="18.75">
      <c r="A8" s="9"/>
      <c r="B8" s="595" t="s">
        <v>74</v>
      </c>
      <c r="C8" s="596"/>
      <c r="D8" s="237"/>
      <c r="E8" s="241" t="s">
        <v>129</v>
      </c>
      <c r="F8" s="242"/>
      <c r="G8" s="243">
        <f>G7+G6</f>
        <v>52220.91296470612</v>
      </c>
      <c r="H8" s="243">
        <f ca="1">H7+H6</f>
        <v>17671.897739923534</v>
      </c>
      <c r="I8" s="244"/>
      <c r="J8" s="243">
        <f ca="1">J7+J6</f>
        <v>52220.91296470612</v>
      </c>
      <c r="K8" s="243">
        <f ca="1">K7+K6</f>
        <v>17671.897739923534</v>
      </c>
      <c r="L8" s="251"/>
      <c r="M8" s="252">
        <f t="array" ref="M8:AZ8">TRANSPOSE(Revenue!Q11:Q50)</f>
        <v>0</v>
      </c>
      <c r="N8" s="252">
        <v>0</v>
      </c>
      <c r="O8" s="252">
        <v>0</v>
      </c>
      <c r="P8" s="252">
        <v>0</v>
      </c>
      <c r="Q8" s="252">
        <v>0</v>
      </c>
      <c r="R8" s="252">
        <v>0</v>
      </c>
      <c r="S8" s="252">
        <v>0</v>
      </c>
      <c r="T8" s="252">
        <v>0</v>
      </c>
      <c r="U8" s="252">
        <v>2528.932343067177</v>
      </c>
      <c r="V8" s="252">
        <v>4474.6536159489724</v>
      </c>
      <c r="W8" s="252">
        <v>4596.3006199891151</v>
      </c>
      <c r="X8" s="252">
        <v>4734.1896385887894</v>
      </c>
      <c r="Y8" s="252">
        <v>4744.1642155327918</v>
      </c>
      <c r="Z8" s="252">
        <v>4224.8250692278016</v>
      </c>
      <c r="AA8" s="252">
        <v>3687.8848585770402</v>
      </c>
      <c r="AB8" s="252">
        <v>3228.7431936841967</v>
      </c>
      <c r="AC8" s="252">
        <v>2826.7646660705136</v>
      </c>
      <c r="AD8" s="252">
        <v>2481.0753866856876</v>
      </c>
      <c r="AE8" s="252">
        <v>2165.7512918561383</v>
      </c>
      <c r="AF8" s="252">
        <v>1896.1152560200517</v>
      </c>
      <c r="AG8" s="252">
        <v>1660.0489066455534</v>
      </c>
      <c r="AH8" s="252">
        <v>1457.0390426940562</v>
      </c>
      <c r="AI8" s="252">
        <v>1271.8614702049981</v>
      </c>
      <c r="AJ8" s="252">
        <v>1113.5147171644735</v>
      </c>
      <c r="AK8" s="252">
        <v>974.88213487749533</v>
      </c>
      <c r="AL8" s="252">
        <v>855.66234034135948</v>
      </c>
      <c r="AM8" s="252">
        <v>746.91475677506548</v>
      </c>
      <c r="AN8" s="252">
        <v>653.92386955657173</v>
      </c>
      <c r="AO8" s="252">
        <v>572.51034779677798</v>
      </c>
      <c r="AP8" s="252">
        <v>502.49720098419101</v>
      </c>
      <c r="AQ8" s="252">
        <v>438.63397622890432</v>
      </c>
      <c r="AR8" s="252">
        <v>384.02404618840427</v>
      </c>
      <c r="AS8" s="252">
        <v>0</v>
      </c>
      <c r="AT8" s="252">
        <v>0</v>
      </c>
      <c r="AU8" s="252">
        <v>0</v>
      </c>
      <c r="AV8" s="252">
        <v>0</v>
      </c>
      <c r="AW8" s="252">
        <v>0</v>
      </c>
      <c r="AX8" s="252">
        <v>0</v>
      </c>
      <c r="AY8" s="252">
        <v>0</v>
      </c>
      <c r="AZ8" s="252">
        <v>0</v>
      </c>
      <c r="BA8" s="14"/>
      <c r="BB8" s="14"/>
      <c r="BC8" s="14"/>
      <c r="BD8" s="14"/>
      <c r="BE8" s="14"/>
      <c r="BF8" s="14"/>
      <c r="BG8" s="14"/>
      <c r="BH8" s="14"/>
      <c r="BI8" s="14"/>
      <c r="BJ8" s="14"/>
      <c r="BK8" s="14"/>
      <c r="BL8" s="14"/>
      <c r="BM8" s="14"/>
      <c r="BN8" s="14"/>
      <c r="BO8" s="14"/>
      <c r="BP8" s="14"/>
    </row>
    <row r="9" spans="1:68" ht="15.75">
      <c r="A9" s="9"/>
      <c r="B9" s="235" t="s">
        <v>123</v>
      </c>
      <c r="C9" s="240" t="str">
        <f>Input!B11</f>
        <v>Seismic</v>
      </c>
      <c r="D9" s="15">
        <f ca="1">SUMPRODUCT(M9:AZ9,'Risked Cash Flow'!$AP$2:$CC$2)</f>
        <v>-14.958808080000072</v>
      </c>
      <c r="E9" s="241" t="s">
        <v>78</v>
      </c>
      <c r="F9" s="242">
        <f>Exploration!H21</f>
        <v>45200</v>
      </c>
      <c r="G9" s="243">
        <f>SUM(M9:AZ9)</f>
        <v>-14.958808080000072</v>
      </c>
      <c r="H9" s="243">
        <f ca="1">SUMPRODUCT(M9:AZ9,'Risked Cash Flow'!$AP$4:$CC$4)</f>
        <v>0</v>
      </c>
      <c r="I9" s="244">
        <f>Exploration!U35</f>
        <v>1</v>
      </c>
      <c r="J9" s="243">
        <f>I9*G9</f>
        <v>-14.958808080000072</v>
      </c>
      <c r="K9" s="243">
        <f ca="1">SUMPRODUCT(M9:AZ9,'Risked Cash Flow'!$AP$4:$CC$4)*I9</f>
        <v>0</v>
      </c>
      <c r="L9" s="253">
        <f>IF(AND('Historic Costs'!$D$7=Lists!$A$38,F9&lt;$C$10),-'Historic Costs'!E7,-Exploration!V21)</f>
        <v>0</v>
      </c>
      <c r="M9" s="250">
        <f t="array" ref="M9:AZ9">-TRANSPOSE(Exploration!P37:P76)*Input!$B$8</f>
        <v>-9.6278000000000006</v>
      </c>
      <c r="N9" s="250">
        <v>-5.3310080800000721</v>
      </c>
      <c r="O9" s="250">
        <v>0</v>
      </c>
      <c r="P9" s="250">
        <v>0</v>
      </c>
      <c r="Q9" s="250">
        <v>0</v>
      </c>
      <c r="R9" s="250">
        <v>0</v>
      </c>
      <c r="S9" s="250">
        <v>0</v>
      </c>
      <c r="T9" s="250">
        <v>0</v>
      </c>
      <c r="U9" s="250">
        <v>0</v>
      </c>
      <c r="V9" s="250">
        <v>0</v>
      </c>
      <c r="W9" s="250">
        <v>0</v>
      </c>
      <c r="X9" s="250">
        <v>0</v>
      </c>
      <c r="Y9" s="250">
        <v>0</v>
      </c>
      <c r="Z9" s="250">
        <v>0</v>
      </c>
      <c r="AA9" s="250">
        <v>0</v>
      </c>
      <c r="AB9" s="250">
        <v>0</v>
      </c>
      <c r="AC9" s="250">
        <v>0</v>
      </c>
      <c r="AD9" s="250">
        <v>0</v>
      </c>
      <c r="AE9" s="250">
        <v>0</v>
      </c>
      <c r="AF9" s="250">
        <v>0</v>
      </c>
      <c r="AG9" s="250">
        <v>0</v>
      </c>
      <c r="AH9" s="250">
        <v>0</v>
      </c>
      <c r="AI9" s="250">
        <v>0</v>
      </c>
      <c r="AJ9" s="250">
        <v>0</v>
      </c>
      <c r="AK9" s="250">
        <v>0</v>
      </c>
      <c r="AL9" s="250">
        <v>0</v>
      </c>
      <c r="AM9" s="250">
        <v>0</v>
      </c>
      <c r="AN9" s="250">
        <v>0</v>
      </c>
      <c r="AO9" s="250">
        <v>0</v>
      </c>
      <c r="AP9" s="250">
        <v>0</v>
      </c>
      <c r="AQ9" s="250">
        <v>0</v>
      </c>
      <c r="AR9" s="250">
        <v>0</v>
      </c>
      <c r="AS9" s="250">
        <v>0</v>
      </c>
      <c r="AT9" s="250">
        <v>0</v>
      </c>
      <c r="AU9" s="250">
        <v>0</v>
      </c>
      <c r="AV9" s="250">
        <v>0</v>
      </c>
      <c r="AW9" s="250">
        <v>0</v>
      </c>
      <c r="AX9" s="250">
        <v>0</v>
      </c>
      <c r="AY9" s="250">
        <v>0</v>
      </c>
      <c r="AZ9" s="250">
        <v>0</v>
      </c>
      <c r="BA9" s="14"/>
      <c r="BB9" s="14"/>
      <c r="BC9" s="14"/>
      <c r="BD9" s="14"/>
      <c r="BE9" s="14"/>
      <c r="BF9" s="14"/>
      <c r="BG9" s="14"/>
      <c r="BH9" s="14"/>
      <c r="BI9" s="14"/>
      <c r="BJ9" s="14"/>
      <c r="BK9" s="14"/>
      <c r="BL9" s="14"/>
      <c r="BM9" s="14"/>
      <c r="BN9" s="14"/>
      <c r="BO9" s="14"/>
      <c r="BP9" s="14"/>
    </row>
    <row r="10" spans="1:68" ht="15.75">
      <c r="A10" s="9"/>
      <c r="B10" s="235" t="s">
        <v>79</v>
      </c>
      <c r="C10" s="240">
        <f>Input!B12</f>
        <v>45200</v>
      </c>
      <c r="D10" s="15">
        <f ca="1">SUMPRODUCT(M10:AZ10,'Risked Cash Flow'!$AP$2:$CC$2)</f>
        <v>-105.39100594815656</v>
      </c>
      <c r="E10" s="241" t="s">
        <v>86</v>
      </c>
      <c r="F10" s="242">
        <f>IF(Exploration!H23&lt;Input!B12,0,Exploration!H23)</f>
        <v>45613.4</v>
      </c>
      <c r="G10" s="243">
        <f>SUM(M10:AZ10)</f>
        <v>-105.39100594815656</v>
      </c>
      <c r="H10" s="243">
        <f ca="1">SUMPRODUCT(M10:AZ10,'Risked Cash Flow'!$AP$4:$CC$4)</f>
        <v>0</v>
      </c>
      <c r="I10" s="244">
        <f ca="1">Exploration!V35</f>
        <v>1</v>
      </c>
      <c r="J10" s="243">
        <f ca="1">I10*G10</f>
        <v>-105.39100594815656</v>
      </c>
      <c r="K10" s="243">
        <f ca="1">SUMPRODUCT(M10:AZ10,'Risked Cash Flow'!$AP$4:$CC$4)*I10</f>
        <v>0</v>
      </c>
      <c r="L10" s="254">
        <f>IF(AND('Historic Costs'!$D$8=Lists!$A$38,F10&lt;$C$10),-'Historic Costs'!E8,-Exploration!V22)</f>
        <v>0</v>
      </c>
      <c r="M10" s="255">
        <f t="array" ref="M10:AZ10">-TRANSPOSE(Exploration!Q37:Q76)*Input!$B$8</f>
        <v>0</v>
      </c>
      <c r="N10" s="255">
        <v>-69.521657538512173</v>
      </c>
      <c r="O10" s="255">
        <v>-35.869348409644388</v>
      </c>
      <c r="P10" s="255">
        <v>0</v>
      </c>
      <c r="Q10" s="255">
        <v>0</v>
      </c>
      <c r="R10" s="255">
        <v>0</v>
      </c>
      <c r="S10" s="255">
        <v>0</v>
      </c>
      <c r="T10" s="255">
        <v>0</v>
      </c>
      <c r="U10" s="255">
        <v>0</v>
      </c>
      <c r="V10" s="255">
        <v>0</v>
      </c>
      <c r="W10" s="255">
        <v>0</v>
      </c>
      <c r="X10" s="255">
        <v>0</v>
      </c>
      <c r="Y10" s="255">
        <v>0</v>
      </c>
      <c r="Z10" s="255">
        <v>0</v>
      </c>
      <c r="AA10" s="255">
        <v>0</v>
      </c>
      <c r="AB10" s="255">
        <v>0</v>
      </c>
      <c r="AC10" s="255">
        <v>0</v>
      </c>
      <c r="AD10" s="255">
        <v>0</v>
      </c>
      <c r="AE10" s="255">
        <v>0</v>
      </c>
      <c r="AF10" s="255">
        <v>0</v>
      </c>
      <c r="AG10" s="255">
        <v>0</v>
      </c>
      <c r="AH10" s="255">
        <v>0</v>
      </c>
      <c r="AI10" s="255">
        <v>0</v>
      </c>
      <c r="AJ10" s="255">
        <v>0</v>
      </c>
      <c r="AK10" s="255">
        <v>0</v>
      </c>
      <c r="AL10" s="255">
        <v>0</v>
      </c>
      <c r="AM10" s="255">
        <v>0</v>
      </c>
      <c r="AN10" s="255">
        <v>0</v>
      </c>
      <c r="AO10" s="255">
        <v>0</v>
      </c>
      <c r="AP10" s="255">
        <v>0</v>
      </c>
      <c r="AQ10" s="255">
        <v>0</v>
      </c>
      <c r="AR10" s="255">
        <v>0</v>
      </c>
      <c r="AS10" s="255">
        <v>0</v>
      </c>
      <c r="AT10" s="255">
        <v>0</v>
      </c>
      <c r="AU10" s="255">
        <v>0</v>
      </c>
      <c r="AV10" s="255">
        <v>0</v>
      </c>
      <c r="AW10" s="255">
        <v>0</v>
      </c>
      <c r="AX10" s="255">
        <v>0</v>
      </c>
      <c r="AY10" s="255">
        <v>0</v>
      </c>
      <c r="AZ10" s="255">
        <v>0</v>
      </c>
      <c r="BA10" s="14"/>
      <c r="BB10" s="14"/>
      <c r="BC10" s="14"/>
      <c r="BD10" s="14"/>
      <c r="BE10" s="14"/>
      <c r="BF10" s="14"/>
      <c r="BG10" s="14"/>
      <c r="BH10" s="14"/>
      <c r="BI10" s="14"/>
      <c r="BJ10" s="14"/>
      <c r="BK10" s="14"/>
      <c r="BL10" s="14"/>
      <c r="BM10" s="14"/>
      <c r="BN10" s="14"/>
      <c r="BO10" s="14"/>
      <c r="BP10" s="14"/>
    </row>
    <row r="11" spans="1:68" ht="15.75">
      <c r="A11" s="9"/>
      <c r="B11" s="235" t="s">
        <v>80</v>
      </c>
      <c r="C11" s="248" t="str">
        <f>Input!B16</f>
        <v>FPSO</v>
      </c>
      <c r="D11" s="15">
        <f ca="1">SUMPRODUCT(M11:AZ11,'Risked Cash Flow'!$AP$2:$CC$2)</f>
        <v>-318.5750947038573</v>
      </c>
      <c r="E11" s="241" t="s">
        <v>87</v>
      </c>
      <c r="F11" s="242">
        <f>IF(Exploration!H25&lt;Input!B12,0,Exploration!H25)</f>
        <v>45901.440000000002</v>
      </c>
      <c r="G11" s="243">
        <f>SUM(M11:AZ11)</f>
        <v>-328.87856636340621</v>
      </c>
      <c r="H11" s="243">
        <f ca="1">SUMPRODUCT(M11:AZ11,'Risked Cash Flow'!$AP$4:$CC$4)</f>
        <v>-211.09843902954154</v>
      </c>
      <c r="I11" s="244">
        <f ca="1">Exploration!W35</f>
        <v>1</v>
      </c>
      <c r="J11" s="243">
        <f ca="1">I11*G11</f>
        <v>-328.87856636340621</v>
      </c>
      <c r="K11" s="243">
        <f ca="1">SUMPRODUCT(M11:AZ11,'Risked Cash Flow'!$AP$4:$CC$4)*I11</f>
        <v>-211.09843902954154</v>
      </c>
      <c r="L11" s="254">
        <f>IF(AND('Historic Costs'!$D$9=Lists!$A$38,F11&lt;$C$10),-'Historic Costs'!E9,-Exploration!V23)</f>
        <v>0</v>
      </c>
      <c r="M11" s="255">
        <f t="array" ref="M11:AZ11">-TRANSPOSE(Exploration!R37:R76)*Input!$B$8</f>
        <v>0</v>
      </c>
      <c r="N11" s="255">
        <v>0</v>
      </c>
      <c r="O11" s="255">
        <v>-107.47665567431575</v>
      </c>
      <c r="P11" s="255">
        <v>-221.40191068909044</v>
      </c>
      <c r="Q11" s="255">
        <v>0</v>
      </c>
      <c r="R11" s="255">
        <v>0</v>
      </c>
      <c r="S11" s="255">
        <v>0</v>
      </c>
      <c r="T11" s="255">
        <v>0</v>
      </c>
      <c r="U11" s="255">
        <v>0</v>
      </c>
      <c r="V11" s="255">
        <v>0</v>
      </c>
      <c r="W11" s="255">
        <v>0</v>
      </c>
      <c r="X11" s="255">
        <v>0</v>
      </c>
      <c r="Y11" s="255">
        <v>0</v>
      </c>
      <c r="Z11" s="255">
        <v>0</v>
      </c>
      <c r="AA11" s="255">
        <v>0</v>
      </c>
      <c r="AB11" s="255">
        <v>0</v>
      </c>
      <c r="AC11" s="255">
        <v>0</v>
      </c>
      <c r="AD11" s="255">
        <v>0</v>
      </c>
      <c r="AE11" s="255">
        <v>0</v>
      </c>
      <c r="AF11" s="255">
        <v>0</v>
      </c>
      <c r="AG11" s="255">
        <v>0</v>
      </c>
      <c r="AH11" s="255">
        <v>0</v>
      </c>
      <c r="AI11" s="255">
        <v>0</v>
      </c>
      <c r="AJ11" s="255">
        <v>0</v>
      </c>
      <c r="AK11" s="255">
        <v>0</v>
      </c>
      <c r="AL11" s="255">
        <v>0</v>
      </c>
      <c r="AM11" s="255">
        <v>0</v>
      </c>
      <c r="AN11" s="255">
        <v>0</v>
      </c>
      <c r="AO11" s="255">
        <v>0</v>
      </c>
      <c r="AP11" s="255">
        <v>0</v>
      </c>
      <c r="AQ11" s="255">
        <v>0</v>
      </c>
      <c r="AR11" s="255">
        <v>0</v>
      </c>
      <c r="AS11" s="255">
        <v>0</v>
      </c>
      <c r="AT11" s="255">
        <v>0</v>
      </c>
      <c r="AU11" s="255">
        <v>0</v>
      </c>
      <c r="AV11" s="255">
        <v>0</v>
      </c>
      <c r="AW11" s="255">
        <v>0</v>
      </c>
      <c r="AX11" s="255">
        <v>0</v>
      </c>
      <c r="AY11" s="255">
        <v>0</v>
      </c>
      <c r="AZ11" s="255">
        <v>0</v>
      </c>
      <c r="BA11" s="14"/>
      <c r="BB11" s="14"/>
      <c r="BC11" s="14"/>
      <c r="BD11" s="14"/>
      <c r="BE11" s="14"/>
      <c r="BF11" s="14"/>
      <c r="BG11" s="14"/>
      <c r="BH11" s="14"/>
      <c r="BI11" s="14"/>
      <c r="BJ11" s="14"/>
      <c r="BK11" s="14"/>
      <c r="BL11" s="14"/>
      <c r="BM11" s="14"/>
      <c r="BN11" s="14"/>
      <c r="BO11" s="14"/>
      <c r="BP11" s="14"/>
    </row>
    <row r="12" spans="1:68" ht="15.75">
      <c r="A12" s="9"/>
      <c r="B12" s="235" t="s">
        <v>82</v>
      </c>
      <c r="C12" s="248" t="str">
        <f>IF(OR(Input!B16=Lists!O39,Input!B16=Subsea),"",Input!B17)</f>
        <v>To Infrastructure</v>
      </c>
      <c r="D12" s="15">
        <f ca="1">SUMPRODUCT(M13:AZ13,'Risked Cash Flow'!$AP$2:$CC$2)</f>
        <v>-14.324155938444957</v>
      </c>
      <c r="E12" s="423" t="s">
        <v>1020</v>
      </c>
      <c r="F12" s="242"/>
      <c r="G12" s="243">
        <f>SUM(M12:AZ12)</f>
        <v>0</v>
      </c>
      <c r="H12" s="243">
        <f ca="1">SUMPRODUCT(M12:AZ12,'Risked Cash Flow'!$AP$4:$CC$4)</f>
        <v>0</v>
      </c>
      <c r="I12" s="244" t="s">
        <v>1021</v>
      </c>
      <c r="J12" s="243">
        <f ca="1">'Deposit Recovery'!Y15*Input!$B$8</f>
        <v>0</v>
      </c>
      <c r="K12" s="243">
        <f ca="1">'Deposit Recovery'!AD15*Input!B8</f>
        <v>0</v>
      </c>
      <c r="L12" s="254"/>
      <c r="M12" s="255">
        <f t="array" ref="M12:T12">TRANSPOSE('Deposit Recovery'!O16:O23)*Input!$B$8</f>
        <v>0</v>
      </c>
      <c r="N12" s="255">
        <v>0</v>
      </c>
      <c r="O12" s="255">
        <v>0</v>
      </c>
      <c r="P12" s="255">
        <v>0</v>
      </c>
      <c r="Q12" s="255">
        <v>0</v>
      </c>
      <c r="R12" s="255">
        <v>0</v>
      </c>
      <c r="S12" s="255">
        <v>0</v>
      </c>
      <c r="T12" s="255">
        <v>0</v>
      </c>
      <c r="U12" s="255"/>
      <c r="V12" s="255"/>
      <c r="W12" s="255"/>
      <c r="X12" s="255"/>
      <c r="Y12" s="255"/>
      <c r="Z12" s="255"/>
      <c r="AA12" s="255"/>
      <c r="AB12" s="255"/>
      <c r="AC12" s="255"/>
      <c r="AD12" s="255"/>
      <c r="AE12" s="255"/>
      <c r="AF12" s="255"/>
      <c r="AG12" s="255"/>
      <c r="AH12" s="255"/>
      <c r="AI12" s="255"/>
      <c r="AJ12" s="255"/>
      <c r="AK12" s="255"/>
      <c r="AL12" s="255"/>
      <c r="AM12" s="255"/>
      <c r="AN12" s="255"/>
      <c r="AO12" s="255"/>
      <c r="AP12" s="255"/>
      <c r="AQ12" s="255"/>
      <c r="AR12" s="255"/>
      <c r="AS12" s="255"/>
      <c r="AT12" s="255"/>
      <c r="AU12" s="255"/>
      <c r="AV12" s="255"/>
      <c r="AW12" s="255"/>
      <c r="AX12" s="255"/>
      <c r="AY12" s="255"/>
      <c r="AZ12" s="255"/>
      <c r="BA12" s="14"/>
      <c r="BB12" s="14"/>
      <c r="BC12" s="14"/>
      <c r="BD12" s="14"/>
      <c r="BE12" s="14"/>
      <c r="BF12" s="14"/>
      <c r="BG12" s="14"/>
      <c r="BH12" s="14"/>
      <c r="BI12" s="14"/>
      <c r="BJ12" s="14"/>
      <c r="BK12" s="14"/>
      <c r="BL12" s="14"/>
      <c r="BM12" s="14"/>
      <c r="BN12" s="14"/>
      <c r="BO12" s="14"/>
      <c r="BP12" s="14"/>
    </row>
    <row r="13" spans="1:68" ht="15.75">
      <c r="A13" s="9"/>
      <c r="B13" s="235" t="s">
        <v>84</v>
      </c>
      <c r="C13" s="248">
        <f>IF(OR(C11=Subsea,C12=Lists!Q37),"",Input!B19)</f>
        <v>250</v>
      </c>
      <c r="D13" s="15">
        <f ca="1">SUMPRODUCT(M14:AZ14,'Risked Cash Flow'!$AP$2:$CC$2)</f>
        <v>-3751.6725816285634</v>
      </c>
      <c r="E13" s="241" t="s">
        <v>88</v>
      </c>
      <c r="F13" s="242">
        <f>IF(Development!B5&lt;Input!B12,0,Development!B5)</f>
        <v>46479</v>
      </c>
      <c r="G13" s="243">
        <f t="shared" ref="G13:G20" si="0">SUM(M13:AZ13)</f>
        <v>-16.746593136071386</v>
      </c>
      <c r="H13" s="243">
        <f ca="1">SUMPRODUCT(M13:AZ13,'Risked Cash Flow'!$AP$4:$CC$4)</f>
        <v>-14.324155938444957</v>
      </c>
      <c r="I13" s="244">
        <f ca="1">Development!BS89</f>
        <v>1</v>
      </c>
      <c r="J13" s="243">
        <f t="shared" ref="J13:J20" ca="1" si="1">I13*G13</f>
        <v>-16.746593136071386</v>
      </c>
      <c r="K13" s="243">
        <f ca="1">SUMPRODUCT(M13:AZ13,'Risked Cash Flow'!$AP$4:$CC$4)*I13</f>
        <v>-14.324155938444957</v>
      </c>
      <c r="L13" s="254">
        <f>IF(AND('Historic Costs'!$D$10=Lists!$A$38,F13&lt;$C$10),-'Historic Costs'!E10,-Exploration!V24)</f>
        <v>0</v>
      </c>
      <c r="M13" s="255">
        <f t="array" ref="M13:AZ13">-TRANSPOSE(Development!AY92:AY131)*Input!$B$8</f>
        <v>0</v>
      </c>
      <c r="N13" s="255">
        <v>0</v>
      </c>
      <c r="O13" s="255">
        <v>0</v>
      </c>
      <c r="P13" s="255">
        <v>0</v>
      </c>
      <c r="Q13" s="255">
        <v>-14.316016678088269</v>
      </c>
      <c r="R13" s="255">
        <v>-2.4305764579831179</v>
      </c>
      <c r="S13" s="255">
        <v>0</v>
      </c>
      <c r="T13" s="255">
        <v>0</v>
      </c>
      <c r="U13" s="255">
        <v>0</v>
      </c>
      <c r="V13" s="255">
        <v>0</v>
      </c>
      <c r="W13" s="255">
        <v>0</v>
      </c>
      <c r="X13" s="255">
        <v>0</v>
      </c>
      <c r="Y13" s="255">
        <v>0</v>
      </c>
      <c r="Z13" s="255">
        <v>0</v>
      </c>
      <c r="AA13" s="255">
        <v>0</v>
      </c>
      <c r="AB13" s="255">
        <v>0</v>
      </c>
      <c r="AC13" s="255">
        <v>0</v>
      </c>
      <c r="AD13" s="255">
        <v>0</v>
      </c>
      <c r="AE13" s="255">
        <v>0</v>
      </c>
      <c r="AF13" s="255">
        <v>0</v>
      </c>
      <c r="AG13" s="255">
        <v>0</v>
      </c>
      <c r="AH13" s="255">
        <v>0</v>
      </c>
      <c r="AI13" s="255">
        <v>0</v>
      </c>
      <c r="AJ13" s="255">
        <v>0</v>
      </c>
      <c r="AK13" s="255">
        <v>0</v>
      </c>
      <c r="AL13" s="255">
        <v>0</v>
      </c>
      <c r="AM13" s="255">
        <v>0</v>
      </c>
      <c r="AN13" s="255">
        <v>0</v>
      </c>
      <c r="AO13" s="255">
        <v>0</v>
      </c>
      <c r="AP13" s="255">
        <v>0</v>
      </c>
      <c r="AQ13" s="255">
        <v>0</v>
      </c>
      <c r="AR13" s="255">
        <v>0</v>
      </c>
      <c r="AS13" s="255">
        <v>0</v>
      </c>
      <c r="AT13" s="255">
        <v>0</v>
      </c>
      <c r="AU13" s="255">
        <v>0</v>
      </c>
      <c r="AV13" s="255">
        <v>0</v>
      </c>
      <c r="AW13" s="255">
        <v>0</v>
      </c>
      <c r="AX13" s="255">
        <v>0</v>
      </c>
      <c r="AY13" s="255">
        <v>0</v>
      </c>
      <c r="AZ13" s="255">
        <v>0</v>
      </c>
      <c r="BA13" s="14"/>
      <c r="BB13" s="14"/>
      <c r="BC13" s="14"/>
      <c r="BD13" s="14"/>
      <c r="BE13" s="14"/>
      <c r="BF13" s="14"/>
      <c r="BG13" s="14"/>
      <c r="BH13" s="14"/>
      <c r="BI13" s="14"/>
      <c r="BJ13" s="14"/>
      <c r="BK13" s="14"/>
      <c r="BL13" s="14"/>
      <c r="BM13" s="14"/>
      <c r="BN13" s="14"/>
      <c r="BO13" s="14"/>
      <c r="BP13" s="14"/>
    </row>
    <row r="14" spans="1:68" ht="16.5" customHeight="1">
      <c r="A14" s="9"/>
      <c r="B14" s="256" t="s">
        <v>840</v>
      </c>
      <c r="C14" s="257">
        <f>IF(OR('Cost Assumptions'!O6="Shallow Water",C12=Lists!Q37),"",Input!B20)</f>
        <v>0.3</v>
      </c>
      <c r="D14" s="15">
        <f ca="1">SUMPRODUCT(M15:AZ15,'Risked Cash Flow'!$AP$2:$CC$2)</f>
        <v>-1070.4496019859803</v>
      </c>
      <c r="E14" s="241" t="s">
        <v>130</v>
      </c>
      <c r="F14" s="242">
        <f>MIN(Development!E74:E77)</f>
        <v>47177</v>
      </c>
      <c r="G14" s="243">
        <f t="shared" si="0"/>
        <v>-5821.3561057981315</v>
      </c>
      <c r="H14" s="243">
        <f ca="1">SUMPRODUCT(M14:AZ14,'Risked Cash Flow'!$AP$4:$CC$4)</f>
        <v>-3751.6725816285634</v>
      </c>
      <c r="I14" s="244">
        <f ca="1">Development!BT89</f>
        <v>1</v>
      </c>
      <c r="J14" s="243">
        <f t="shared" ca="1" si="1"/>
        <v>-5821.3561057981315</v>
      </c>
      <c r="K14" s="243">
        <f ca="1">SUMPRODUCT(M14:AZ14,'Risked Cash Flow'!$AP$4:$CC$4)*I15</f>
        <v>-3751.6725816285634</v>
      </c>
      <c r="L14" s="254"/>
      <c r="M14" s="255">
        <f t="array" ref="M14:AZ14">-TRANSPOSE(Development!CE92:CE131)*Input!$B$8</f>
        <v>0</v>
      </c>
      <c r="N14" s="255">
        <v>0</v>
      </c>
      <c r="O14" s="255">
        <v>0</v>
      </c>
      <c r="P14" s="255">
        <v>0</v>
      </c>
      <c r="Q14" s="255">
        <v>0</v>
      </c>
      <c r="R14" s="255">
        <v>0</v>
      </c>
      <c r="S14" s="255">
        <v>-472.39278561449589</v>
      </c>
      <c r="T14" s="255">
        <v>-4164.5586326586244</v>
      </c>
      <c r="U14" s="255">
        <v>-1184.4046875250119</v>
      </c>
      <c r="V14" s="255">
        <v>0</v>
      </c>
      <c r="W14" s="255">
        <v>0</v>
      </c>
      <c r="X14" s="255">
        <v>0</v>
      </c>
      <c r="Y14" s="255">
        <v>0</v>
      </c>
      <c r="Z14" s="255">
        <v>0</v>
      </c>
      <c r="AA14" s="255">
        <v>0</v>
      </c>
      <c r="AB14" s="255">
        <v>0</v>
      </c>
      <c r="AC14" s="255">
        <v>0</v>
      </c>
      <c r="AD14" s="255">
        <v>0</v>
      </c>
      <c r="AE14" s="255">
        <v>0</v>
      </c>
      <c r="AF14" s="255">
        <v>0</v>
      </c>
      <c r="AG14" s="255">
        <v>0</v>
      </c>
      <c r="AH14" s="255">
        <v>0</v>
      </c>
      <c r="AI14" s="255">
        <v>0</v>
      </c>
      <c r="AJ14" s="255">
        <v>0</v>
      </c>
      <c r="AK14" s="255">
        <v>0</v>
      </c>
      <c r="AL14" s="255">
        <v>0</v>
      </c>
      <c r="AM14" s="255">
        <v>0</v>
      </c>
      <c r="AN14" s="255">
        <v>0</v>
      </c>
      <c r="AO14" s="255">
        <v>0</v>
      </c>
      <c r="AP14" s="255">
        <v>0</v>
      </c>
      <c r="AQ14" s="255">
        <v>0</v>
      </c>
      <c r="AR14" s="255">
        <v>0</v>
      </c>
      <c r="AS14" s="255">
        <v>0</v>
      </c>
      <c r="AT14" s="255">
        <v>0</v>
      </c>
      <c r="AU14" s="255">
        <v>0</v>
      </c>
      <c r="AV14" s="255">
        <v>0</v>
      </c>
      <c r="AW14" s="255">
        <v>0</v>
      </c>
      <c r="AX14" s="255">
        <v>0</v>
      </c>
      <c r="AY14" s="255">
        <v>0</v>
      </c>
      <c r="AZ14" s="255">
        <v>0</v>
      </c>
      <c r="BA14" s="14"/>
      <c r="BB14" s="14"/>
      <c r="BC14" s="14"/>
      <c r="BD14" s="14"/>
      <c r="BE14" s="14"/>
      <c r="BF14" s="14"/>
      <c r="BG14" s="14"/>
      <c r="BH14" s="14"/>
      <c r="BI14" s="14"/>
      <c r="BJ14" s="14"/>
      <c r="BK14" s="14"/>
      <c r="BL14" s="14"/>
      <c r="BM14" s="14"/>
      <c r="BN14" s="14"/>
      <c r="BO14" s="14"/>
      <c r="BP14" s="14"/>
    </row>
    <row r="15" spans="1:68" ht="15.75" customHeight="1">
      <c r="A15" s="9"/>
      <c r="B15" s="595" t="s">
        <v>85</v>
      </c>
      <c r="C15" s="596"/>
      <c r="D15" s="14"/>
      <c r="E15" s="241" t="s">
        <v>131</v>
      </c>
      <c r="F15" s="242">
        <f>MIN(Development!E41:E46)</f>
        <v>47825.666666666664</v>
      </c>
      <c r="G15" s="243">
        <f t="shared" si="0"/>
        <v>-1796.127296519054</v>
      </c>
      <c r="H15" s="243">
        <f ca="1">SUMPRODUCT(M15:AZ15,'Risked Cash Flow'!$AP$4:$CC$4)</f>
        <v>-1070.4496019859803</v>
      </c>
      <c r="I15" s="244">
        <f t="shared" ref="I15:I20" ca="1" si="2">I14</f>
        <v>1</v>
      </c>
      <c r="J15" s="243">
        <f t="shared" ca="1" si="1"/>
        <v>-1796.127296519054</v>
      </c>
      <c r="K15" s="243">
        <f ca="1">SUMPRODUCT(M15:AZ15,'Risked Cash Flow'!$AP$4:$CC$4)*I15</f>
        <v>-1070.4496019859803</v>
      </c>
      <c r="L15" s="246"/>
      <c r="M15" s="255">
        <f t="array" ref="M15:AZ15">-TRANSPOSE(Development!AZ92:AZ131)*Input!$B$8</f>
        <v>0</v>
      </c>
      <c r="N15" s="255">
        <v>0</v>
      </c>
      <c r="O15" s="255">
        <v>0</v>
      </c>
      <c r="P15" s="255">
        <v>0</v>
      </c>
      <c r="Q15" s="255">
        <v>0</v>
      </c>
      <c r="R15" s="255">
        <v>0</v>
      </c>
      <c r="S15" s="255">
        <v>0</v>
      </c>
      <c r="T15" s="255">
        <v>-119.87471631941384</v>
      </c>
      <c r="U15" s="255">
        <v>-1676.2525801996401</v>
      </c>
      <c r="V15" s="255">
        <v>0</v>
      </c>
      <c r="W15" s="255">
        <v>0</v>
      </c>
      <c r="X15" s="255">
        <v>0</v>
      </c>
      <c r="Y15" s="255">
        <v>0</v>
      </c>
      <c r="Z15" s="255">
        <v>0</v>
      </c>
      <c r="AA15" s="255">
        <v>0</v>
      </c>
      <c r="AB15" s="255">
        <v>0</v>
      </c>
      <c r="AC15" s="255">
        <v>0</v>
      </c>
      <c r="AD15" s="255">
        <v>0</v>
      </c>
      <c r="AE15" s="255">
        <v>0</v>
      </c>
      <c r="AF15" s="255">
        <v>0</v>
      </c>
      <c r="AG15" s="255">
        <v>0</v>
      </c>
      <c r="AH15" s="255">
        <v>0</v>
      </c>
      <c r="AI15" s="255">
        <v>0</v>
      </c>
      <c r="AJ15" s="255">
        <v>0</v>
      </c>
      <c r="AK15" s="255">
        <v>0</v>
      </c>
      <c r="AL15" s="255">
        <v>0</v>
      </c>
      <c r="AM15" s="255">
        <v>0</v>
      </c>
      <c r="AN15" s="255">
        <v>0</v>
      </c>
      <c r="AO15" s="255">
        <v>0</v>
      </c>
      <c r="AP15" s="255">
        <v>0</v>
      </c>
      <c r="AQ15" s="255">
        <v>0</v>
      </c>
      <c r="AR15" s="255">
        <v>0</v>
      </c>
      <c r="AS15" s="255">
        <v>0</v>
      </c>
      <c r="AT15" s="255">
        <v>0</v>
      </c>
      <c r="AU15" s="255">
        <v>0</v>
      </c>
      <c r="AV15" s="255">
        <v>0</v>
      </c>
      <c r="AW15" s="255">
        <v>0</v>
      </c>
      <c r="AX15" s="255">
        <v>0</v>
      </c>
      <c r="AY15" s="255">
        <v>0</v>
      </c>
      <c r="AZ15" s="255">
        <v>0</v>
      </c>
      <c r="BA15" s="14"/>
      <c r="BB15" s="14"/>
      <c r="BC15" s="14"/>
      <c r="BD15" s="14"/>
      <c r="BE15" s="14"/>
      <c r="BF15" s="14"/>
      <c r="BG15" s="14"/>
      <c r="BH15" s="14"/>
      <c r="BI15" s="14"/>
      <c r="BJ15" s="14"/>
      <c r="BK15" s="14"/>
      <c r="BL15" s="14"/>
      <c r="BM15" s="14"/>
      <c r="BN15" s="14"/>
      <c r="BO15" s="14"/>
      <c r="BP15" s="14"/>
    </row>
    <row r="16" spans="1:68" ht="15.75" customHeight="1">
      <c r="A16" s="9"/>
      <c r="B16" s="235" t="s">
        <v>78</v>
      </c>
      <c r="C16" s="258">
        <f>Input!B22</f>
        <v>1</v>
      </c>
      <c r="D16" s="14"/>
      <c r="E16" s="241" t="s">
        <v>132</v>
      </c>
      <c r="F16" s="242">
        <f>F5</f>
        <v>47987</v>
      </c>
      <c r="G16" s="243">
        <f t="shared" si="0"/>
        <v>-9345.785873417195</v>
      </c>
      <c r="H16" s="243">
        <f ca="1">SUMPRODUCT(M16:AZ16,'Risked Cash Flow'!$AP$4:$CC$4)</f>
        <v>-2462.9204080226941</v>
      </c>
      <c r="I16" s="244">
        <f t="shared" ca="1" si="2"/>
        <v>1</v>
      </c>
      <c r="J16" s="243">
        <f t="shared" ca="1" si="1"/>
        <v>-9345.785873417195</v>
      </c>
      <c r="K16" s="243">
        <f ca="1">SUMPRODUCT(M16:AZ16,'Risked Cash Flow'!$AP$4:$CC$4)*I16</f>
        <v>-2462.9204080226941</v>
      </c>
      <c r="L16" s="246"/>
      <c r="M16" s="255">
        <f t="array" ref="M16:AZ16">-TRANSPOSE(Operations!M19:M58)*Input!$B$8</f>
        <v>0</v>
      </c>
      <c r="N16" s="255">
        <v>0</v>
      </c>
      <c r="O16" s="255">
        <v>0</v>
      </c>
      <c r="P16" s="255">
        <v>0</v>
      </c>
      <c r="Q16" s="255">
        <v>0</v>
      </c>
      <c r="R16" s="255">
        <v>0</v>
      </c>
      <c r="S16" s="255">
        <v>0</v>
      </c>
      <c r="T16" s="255">
        <v>0</v>
      </c>
      <c r="U16" s="255">
        <v>-345.38599538637789</v>
      </c>
      <c r="V16" s="255">
        <v>-485.12933283851851</v>
      </c>
      <c r="W16" s="255">
        <v>-499.31719009157177</v>
      </c>
      <c r="X16" s="255">
        <v>-514.29670579431888</v>
      </c>
      <c r="Y16" s="255">
        <v>-520.38284147447939</v>
      </c>
      <c r="Z16" s="255">
        <v>-488.69966965892007</v>
      </c>
      <c r="AA16" s="255">
        <v>-456.89980930528867</v>
      </c>
      <c r="AB16" s="255">
        <v>-430.29435095706208</v>
      </c>
      <c r="AC16" s="255">
        <v>-407.90962921049828</v>
      </c>
      <c r="AD16" s="255">
        <v>-389.40653100372413</v>
      </c>
      <c r="AE16" s="255">
        <v>-373.80407713396335</v>
      </c>
      <c r="AF16" s="255">
        <v>-361.34426446799074</v>
      </c>
      <c r="AG16" s="255">
        <v>-351.45806232704751</v>
      </c>
      <c r="AH16" s="255">
        <v>-343.94917088795296</v>
      </c>
      <c r="AI16" s="255">
        <v>-338.24443275876462</v>
      </c>
      <c r="AJ16" s="255">
        <v>-334.48898481630653</v>
      </c>
      <c r="AK16" s="255">
        <v>-332.35176966076489</v>
      </c>
      <c r="AL16" s="255">
        <v>-331.72071358721138</v>
      </c>
      <c r="AM16" s="255">
        <v>-332.26252526940027</v>
      </c>
      <c r="AN16" s="255">
        <v>-334.06583870955592</v>
      </c>
      <c r="AO16" s="255">
        <v>-336.93973956149796</v>
      </c>
      <c r="AP16" s="255">
        <v>-340.82201916651775</v>
      </c>
      <c r="AQ16" s="255">
        <v>-345.52066459991596</v>
      </c>
      <c r="AR16" s="255">
        <v>-351.09155474954565</v>
      </c>
      <c r="AS16" s="255">
        <v>0</v>
      </c>
      <c r="AT16" s="255">
        <v>0</v>
      </c>
      <c r="AU16" s="255">
        <v>0</v>
      </c>
      <c r="AV16" s="255">
        <v>0</v>
      </c>
      <c r="AW16" s="255">
        <v>0</v>
      </c>
      <c r="AX16" s="255">
        <v>0</v>
      </c>
      <c r="AY16" s="255">
        <v>0</v>
      </c>
      <c r="AZ16" s="255">
        <v>0</v>
      </c>
      <c r="BA16" s="14"/>
      <c r="BB16" s="14"/>
      <c r="BC16" s="14"/>
      <c r="BD16" s="14"/>
      <c r="BE16" s="14"/>
      <c r="BF16" s="14"/>
      <c r="BG16" s="14"/>
      <c r="BH16" s="14"/>
      <c r="BI16" s="14"/>
      <c r="BJ16" s="14"/>
      <c r="BK16" s="14"/>
      <c r="BL16" s="14"/>
      <c r="BM16" s="14"/>
      <c r="BN16" s="14"/>
      <c r="BO16" s="14"/>
      <c r="BP16" s="14"/>
    </row>
    <row r="17" spans="1:68" ht="15.75" customHeight="1">
      <c r="A17" s="9"/>
      <c r="B17" s="235" t="s">
        <v>86</v>
      </c>
      <c r="C17" s="258">
        <f>Input!B23</f>
        <v>1</v>
      </c>
      <c r="D17" s="14"/>
      <c r="E17" s="241" t="s">
        <v>38</v>
      </c>
      <c r="F17" s="242"/>
      <c r="G17" s="243">
        <f t="shared" si="0"/>
        <v>-10322.711033597319</v>
      </c>
      <c r="H17" s="243">
        <f ca="1">SUMPRODUCT(M17:AZ17,'Risked Cash Flow'!$AP$4:$CC$4)</f>
        <v>-3057.7036654114922</v>
      </c>
      <c r="I17" s="244">
        <f t="shared" ca="1" si="2"/>
        <v>1</v>
      </c>
      <c r="J17" s="243">
        <f t="shared" ca="1" si="1"/>
        <v>-10322.711033597319</v>
      </c>
      <c r="K17" s="243">
        <f ca="1">SUMPRODUCT(M17:AZ17,'Risked Cash Flow'!$AP$4:$CC$4)*I17</f>
        <v>-3057.7036654114922</v>
      </c>
      <c r="L17" s="246"/>
      <c r="M17" s="255">
        <f t="array" ref="M17:AZ17">-TRANSPOSE('Success Cash Flow'!M10:M49)*Input!$B$8</f>
        <v>0</v>
      </c>
      <c r="N17" s="255">
        <v>0</v>
      </c>
      <c r="O17" s="255">
        <v>0</v>
      </c>
      <c r="P17" s="255">
        <v>0</v>
      </c>
      <c r="Q17" s="255">
        <v>0</v>
      </c>
      <c r="R17" s="255">
        <v>0</v>
      </c>
      <c r="S17" s="255">
        <v>0</v>
      </c>
      <c r="T17" s="255">
        <v>0</v>
      </c>
      <c r="U17" s="255">
        <v>-50.578646861343543</v>
      </c>
      <c r="V17" s="255">
        <v>-89.493072318979443</v>
      </c>
      <c r="W17" s="255">
        <v>-120.65289127471428</v>
      </c>
      <c r="X17" s="255">
        <v>-609.82396350041972</v>
      </c>
      <c r="Y17" s="255">
        <v>-1329.7431099090877</v>
      </c>
      <c r="Z17" s="255">
        <v>-1290.5394014110461</v>
      </c>
      <c r="AA17" s="255">
        <v>-1114.8532739194279</v>
      </c>
      <c r="AB17" s="255">
        <v>-964.39679267099984</v>
      </c>
      <c r="AC17" s="255">
        <v>-832.322425878638</v>
      </c>
      <c r="AD17" s="255">
        <v>-718.45487090355675</v>
      </c>
      <c r="AE17" s="255">
        <v>-614.09838245307242</v>
      </c>
      <c r="AF17" s="255">
        <v>-524.52279778684158</v>
      </c>
      <c r="AG17" s="255">
        <v>-445.70576333003038</v>
      </c>
      <c r="AH17" s="255">
        <v>-377.54323415105779</v>
      </c>
      <c r="AI17" s="255">
        <v>-314.92740795962493</v>
      </c>
      <c r="AJ17" s="255">
        <v>-260.95189185328769</v>
      </c>
      <c r="AK17" s="255">
        <v>-213.25331588772886</v>
      </c>
      <c r="AL17" s="255">
        <v>-171.76934438839942</v>
      </c>
      <c r="AM17" s="255">
        <v>-133.49909264255379</v>
      </c>
      <c r="AN17" s="255">
        <v>-100.25800644162105</v>
      </c>
      <c r="AO17" s="255">
        <v>-70.656821997695559</v>
      </c>
      <c r="AP17" s="255">
        <v>-44.657542965357514</v>
      </c>
      <c r="AQ17" s="255">
        <v>-21.931698811445216</v>
      </c>
      <c r="AR17" s="255">
        <v>-19.201202309420214</v>
      </c>
      <c r="AS17" s="255">
        <v>111.12391802903301</v>
      </c>
      <c r="AT17" s="255">
        <v>0</v>
      </c>
      <c r="AU17" s="255">
        <v>0</v>
      </c>
      <c r="AV17" s="255">
        <v>0</v>
      </c>
      <c r="AW17" s="255">
        <v>0</v>
      </c>
      <c r="AX17" s="255">
        <v>0</v>
      </c>
      <c r="AY17" s="255">
        <v>0</v>
      </c>
      <c r="AZ17" s="255">
        <v>0</v>
      </c>
      <c r="BA17" s="14"/>
      <c r="BB17" s="14"/>
      <c r="BC17" s="14"/>
      <c r="BD17" s="14"/>
      <c r="BE17" s="14"/>
      <c r="BF17" s="14"/>
      <c r="BG17" s="14"/>
      <c r="BH17" s="14"/>
      <c r="BI17" s="14"/>
      <c r="BJ17" s="14"/>
      <c r="BK17" s="14"/>
      <c r="BL17" s="14"/>
      <c r="BM17" s="14"/>
      <c r="BN17" s="14"/>
      <c r="BO17" s="14"/>
      <c r="BP17" s="14"/>
    </row>
    <row r="18" spans="1:68" ht="15.75" customHeight="1">
      <c r="A18" s="9"/>
      <c r="B18" s="235" t="s">
        <v>87</v>
      </c>
      <c r="C18" s="258">
        <f>Input!B24</f>
        <v>1</v>
      </c>
      <c r="D18" s="14"/>
      <c r="E18" s="241" t="s">
        <v>133</v>
      </c>
      <c r="F18" s="242"/>
      <c r="G18" s="243">
        <f t="shared" si="0"/>
        <v>-3384.235936311456</v>
      </c>
      <c r="H18" s="243">
        <f ca="1">SUMPRODUCT(M18:AZ18,'Risked Cash Flow'!$AP$4:$CC$4)</f>
        <v>-1175.9147083451385</v>
      </c>
      <c r="I18" s="244">
        <f t="shared" ca="1" si="2"/>
        <v>1</v>
      </c>
      <c r="J18" s="243">
        <f t="shared" ca="1" si="1"/>
        <v>-3384.235936311456</v>
      </c>
      <c r="K18" s="243">
        <f ca="1">SUMPRODUCT(M18:AZ18,'Risked Cash Flow'!$AP$4:$CC$4)*I18</f>
        <v>-1175.9147083451385</v>
      </c>
      <c r="L18" s="246"/>
      <c r="M18" s="255">
        <f t="array" ref="M18:AZ18">-TRANSPOSE('Success Cash Flow'!N10:N49)*Input!$B$8</f>
        <v>0</v>
      </c>
      <c r="N18" s="255">
        <v>0</v>
      </c>
      <c r="O18" s="255">
        <v>0</v>
      </c>
      <c r="P18" s="255">
        <v>0</v>
      </c>
      <c r="Q18" s="255">
        <v>0</v>
      </c>
      <c r="R18" s="255">
        <v>0</v>
      </c>
      <c r="S18" s="255">
        <v>0</v>
      </c>
      <c r="T18" s="255">
        <v>0</v>
      </c>
      <c r="U18" s="255">
        <v>-59.480887453873827</v>
      </c>
      <c r="V18" s="255">
        <v>-313.99787395455098</v>
      </c>
      <c r="W18" s="255">
        <v>-385.34213376007438</v>
      </c>
      <c r="X18" s="255">
        <v>-378.76406047987467</v>
      </c>
      <c r="Y18" s="255">
        <v>-311.4849182747563</v>
      </c>
      <c r="Z18" s="255">
        <v>-273.03434110937957</v>
      </c>
      <c r="AA18" s="255">
        <v>-244.88651585260595</v>
      </c>
      <c r="AB18" s="255">
        <v>-218.68552637979252</v>
      </c>
      <c r="AC18" s="255">
        <v>-193.86627729247425</v>
      </c>
      <c r="AD18" s="255">
        <v>-171.28286424357981</v>
      </c>
      <c r="AE18" s="255">
        <v>-149.32690208943083</v>
      </c>
      <c r="AF18" s="255">
        <v>-129.86316635951107</v>
      </c>
      <c r="AG18" s="255">
        <v>-112.20038480016592</v>
      </c>
      <c r="AH18" s="255">
        <v>-96.576495694286734</v>
      </c>
      <c r="AI18" s="255">
        <v>-81.853350873432603</v>
      </c>
      <c r="AJ18" s="255">
        <v>-68.983719278124113</v>
      </c>
      <c r="AK18" s="255">
        <v>-57.456868797593323</v>
      </c>
      <c r="AL18" s="255">
        <v>-47.335312929286268</v>
      </c>
      <c r="AM18" s="255">
        <v>-37.893676874998839</v>
      </c>
      <c r="AN18" s="255">
        <v>-29.6493711622992</v>
      </c>
      <c r="AO18" s="255">
        <v>-22.271288651364824</v>
      </c>
      <c r="AP18" s="255">
        <v>-15.773021311162989</v>
      </c>
      <c r="AQ18" s="255">
        <v>-9.5104627551182013</v>
      </c>
      <c r="AR18" s="255">
        <v>-1.5826443383661499</v>
      </c>
      <c r="AS18" s="255">
        <v>26.866128404647341</v>
      </c>
      <c r="AT18" s="255">
        <v>0</v>
      </c>
      <c r="AU18" s="255">
        <v>0</v>
      </c>
      <c r="AV18" s="255">
        <v>0</v>
      </c>
      <c r="AW18" s="255">
        <v>0</v>
      </c>
      <c r="AX18" s="255">
        <v>0</v>
      </c>
      <c r="AY18" s="255">
        <v>0</v>
      </c>
      <c r="AZ18" s="255">
        <v>0</v>
      </c>
      <c r="BA18" s="14"/>
      <c r="BB18" s="14"/>
      <c r="BC18" s="14"/>
      <c r="BD18" s="14"/>
      <c r="BE18" s="14"/>
      <c r="BF18" s="14"/>
      <c r="BG18" s="14"/>
      <c r="BH18" s="14"/>
      <c r="BI18" s="14"/>
      <c r="BJ18" s="14"/>
      <c r="BK18" s="14"/>
      <c r="BL18" s="14"/>
      <c r="BM18" s="14"/>
      <c r="BN18" s="14"/>
      <c r="BO18" s="14"/>
      <c r="BP18" s="14"/>
    </row>
    <row r="19" spans="1:68" ht="15.75">
      <c r="B19" s="235" t="s">
        <v>88</v>
      </c>
      <c r="C19" s="258">
        <f>Input!B25</f>
        <v>1</v>
      </c>
      <c r="D19" s="14"/>
      <c r="E19" s="241" t="s">
        <v>134</v>
      </c>
      <c r="F19" s="242"/>
      <c r="G19" s="243">
        <f t="shared" si="0"/>
        <v>-3664.101572523241</v>
      </c>
      <c r="H19" s="243">
        <f ca="1">SUMPRODUCT(M19:AZ19,'Risked Cash Flow'!$AP$4:$CC$4)</f>
        <v>-1324.9900984331935</v>
      </c>
      <c r="I19" s="244">
        <f t="shared" ca="1" si="2"/>
        <v>1</v>
      </c>
      <c r="J19" s="243">
        <f t="shared" ca="1" si="1"/>
        <v>-3664.101572523241</v>
      </c>
      <c r="K19" s="243">
        <f ca="1">SUMPRODUCT(M19:AZ19,'Risked Cash Flow'!$AP$4:$CC$4)*I19</f>
        <v>-1324.9900984331935</v>
      </c>
      <c r="L19" s="246"/>
      <c r="M19" s="255">
        <f t="array" ref="M19:AZ19">-TRANSPOSE('Success Cash Flow'!O10:O49)*Input!$B$8</f>
        <v>0</v>
      </c>
      <c r="N19" s="255">
        <v>0</v>
      </c>
      <c r="O19" s="255">
        <v>0</v>
      </c>
      <c r="P19" s="255">
        <v>0</v>
      </c>
      <c r="Q19" s="255">
        <v>0</v>
      </c>
      <c r="R19" s="255">
        <v>0</v>
      </c>
      <c r="S19" s="255">
        <v>0</v>
      </c>
      <c r="T19" s="255">
        <v>0</v>
      </c>
      <c r="U19" s="255">
        <v>-63.729522272007664</v>
      </c>
      <c r="V19" s="255">
        <v>-418.52461272649538</v>
      </c>
      <c r="W19" s="255">
        <v>-474.44031128861559</v>
      </c>
      <c r="X19" s="255">
        <v>-431.47436097961281</v>
      </c>
      <c r="Y19" s="255">
        <v>-352.97563457204922</v>
      </c>
      <c r="Z19" s="255">
        <v>-291.57470436759462</v>
      </c>
      <c r="AA19" s="255">
        <v>-261.65684258345095</v>
      </c>
      <c r="AB19" s="255">
        <v>-222.21966953920705</v>
      </c>
      <c r="AC19" s="255">
        <v>-198.64917984115155</v>
      </c>
      <c r="AD19" s="255">
        <v>-168.06003092829633</v>
      </c>
      <c r="AE19" s="255">
        <v>-148.40011666773572</v>
      </c>
      <c r="AF19" s="255">
        <v>-123.95025695077251</v>
      </c>
      <c r="AG19" s="255">
        <v>-108.82306060293578</v>
      </c>
      <c r="AH19" s="255">
        <v>-90.060509771644732</v>
      </c>
      <c r="AI19" s="255">
        <v>-77.63928851021663</v>
      </c>
      <c r="AJ19" s="255">
        <v>-62.71264583913171</v>
      </c>
      <c r="AK19" s="255">
        <v>-53.162069385420459</v>
      </c>
      <c r="AL19" s="255">
        <v>-41.677559922993019</v>
      </c>
      <c r="AM19" s="255">
        <v>-33.821232990138483</v>
      </c>
      <c r="AN19" s="255">
        <v>-24.628056556690627</v>
      </c>
      <c r="AO19" s="255">
        <v>-18.507749859989854</v>
      </c>
      <c r="AP19" s="255">
        <v>-11.342825212452274</v>
      </c>
      <c r="AQ19" s="255">
        <v>-6.022151164781306</v>
      </c>
      <c r="AR19" s="255">
        <v>2.5858436329105685</v>
      </c>
      <c r="AS19" s="255">
        <v>17.364976377233578</v>
      </c>
      <c r="AT19" s="255">
        <v>0</v>
      </c>
      <c r="AU19" s="255">
        <v>0</v>
      </c>
      <c r="AV19" s="255">
        <v>0</v>
      </c>
      <c r="AW19" s="255">
        <v>0</v>
      </c>
      <c r="AX19" s="255">
        <v>0</v>
      </c>
      <c r="AY19" s="255">
        <v>0</v>
      </c>
      <c r="AZ19" s="255">
        <v>0</v>
      </c>
      <c r="BA19" s="14"/>
      <c r="BB19" s="14"/>
      <c r="BC19" s="14"/>
      <c r="BD19" s="14"/>
      <c r="BE19" s="14"/>
      <c r="BF19" s="14"/>
      <c r="BG19" s="14"/>
      <c r="BH19" s="14"/>
      <c r="BI19" s="14"/>
      <c r="BJ19" s="14"/>
      <c r="BK19" s="14"/>
      <c r="BL19" s="14"/>
      <c r="BM19" s="14"/>
      <c r="BN19" s="14"/>
      <c r="BO19" s="14"/>
      <c r="BP19" s="14"/>
    </row>
    <row r="20" spans="1:68" ht="15.75" customHeight="1">
      <c r="B20" s="595" t="s">
        <v>89</v>
      </c>
      <c r="C20" s="596"/>
      <c r="D20" s="14"/>
      <c r="E20" s="241" t="s">
        <v>19</v>
      </c>
      <c r="F20" s="242">
        <f>DATE(Abandonment!B4,3,1)</f>
        <v>56674</v>
      </c>
      <c r="G20" s="243">
        <f t="shared" si="0"/>
        <v>-529.6306607920867</v>
      </c>
      <c r="H20" s="243">
        <f ca="1">SUMPRODUCT(M20:AZ20,'Risked Cash Flow'!$AP$4:$CC$4)</f>
        <v>-31.833831024195501</v>
      </c>
      <c r="I20" s="244">
        <f t="shared" ca="1" si="2"/>
        <v>1</v>
      </c>
      <c r="J20" s="243">
        <f t="shared" ca="1" si="1"/>
        <v>-529.6306607920867</v>
      </c>
      <c r="K20" s="243">
        <f ca="1">SUMPRODUCT(M20:AZ20,'Risked Cash Flow'!$AP$4:$CC$4)*I20</f>
        <v>-31.833831024195501</v>
      </c>
      <c r="L20" s="249"/>
      <c r="M20" s="255">
        <f t="array" ref="M20:AZ20">-TRANSPOSE(Abandonment!G16:G55)*Input!$B$8</f>
        <v>0</v>
      </c>
      <c r="N20" s="255">
        <v>0</v>
      </c>
      <c r="O20" s="255">
        <v>0</v>
      </c>
      <c r="P20" s="255">
        <v>0</v>
      </c>
      <c r="Q20" s="255">
        <v>0</v>
      </c>
      <c r="R20" s="255">
        <v>0</v>
      </c>
      <c r="S20" s="255">
        <v>0</v>
      </c>
      <c r="T20" s="255">
        <v>0</v>
      </c>
      <c r="U20" s="255">
        <v>0</v>
      </c>
      <c r="V20" s="255">
        <v>0</v>
      </c>
      <c r="W20" s="255">
        <v>0</v>
      </c>
      <c r="X20" s="255">
        <v>0</v>
      </c>
      <c r="Y20" s="255">
        <v>0</v>
      </c>
      <c r="Z20" s="255">
        <v>0</v>
      </c>
      <c r="AA20" s="255">
        <v>0</v>
      </c>
      <c r="AB20" s="255">
        <v>0</v>
      </c>
      <c r="AC20" s="255">
        <v>0</v>
      </c>
      <c r="AD20" s="255">
        <v>0</v>
      </c>
      <c r="AE20" s="255">
        <v>0</v>
      </c>
      <c r="AF20" s="255">
        <v>0</v>
      </c>
      <c r="AG20" s="255">
        <v>0</v>
      </c>
      <c r="AH20" s="255">
        <v>0</v>
      </c>
      <c r="AI20" s="255">
        <v>0</v>
      </c>
      <c r="AJ20" s="255">
        <v>0</v>
      </c>
      <c r="AK20" s="255">
        <v>0</v>
      </c>
      <c r="AL20" s="255">
        <v>0</v>
      </c>
      <c r="AM20" s="255">
        <v>0</v>
      </c>
      <c r="AN20" s="255">
        <v>0</v>
      </c>
      <c r="AO20" s="255">
        <v>0</v>
      </c>
      <c r="AP20" s="255">
        <v>0</v>
      </c>
      <c r="AQ20" s="255">
        <v>0</v>
      </c>
      <c r="AR20" s="255">
        <v>0</v>
      </c>
      <c r="AS20" s="255">
        <v>-529.6306607920867</v>
      </c>
      <c r="AT20" s="255">
        <v>0</v>
      </c>
      <c r="AU20" s="255">
        <v>0</v>
      </c>
      <c r="AV20" s="255">
        <v>0</v>
      </c>
      <c r="AW20" s="255">
        <v>0</v>
      </c>
      <c r="AX20" s="255">
        <v>0</v>
      </c>
      <c r="AY20" s="255">
        <v>0</v>
      </c>
      <c r="AZ20" s="255">
        <v>0</v>
      </c>
      <c r="BA20" s="14"/>
      <c r="BB20" s="14"/>
      <c r="BC20" s="14"/>
      <c r="BD20" s="14"/>
      <c r="BE20" s="14"/>
      <c r="BF20" s="14"/>
      <c r="BG20" s="14"/>
      <c r="BH20" s="14"/>
      <c r="BI20" s="14"/>
      <c r="BJ20" s="14"/>
      <c r="BK20" s="14"/>
      <c r="BL20" s="14"/>
      <c r="BM20" s="14"/>
      <c r="BN20" s="14"/>
      <c r="BO20" s="14"/>
      <c r="BP20" s="14"/>
    </row>
    <row r="21" spans="1:68" ht="15.75" customHeight="1">
      <c r="B21" s="235" t="str">
        <f>Thresholds!A24</f>
        <v>Product Type</v>
      </c>
      <c r="C21" s="248" t="str">
        <f>Input!B13</f>
        <v>Oil</v>
      </c>
      <c r="D21" s="14"/>
      <c r="E21" s="241" t="s">
        <v>101</v>
      </c>
      <c r="F21" s="259"/>
      <c r="G21" s="243">
        <f>SUM(G9:G20)</f>
        <v>-35329.923452486117</v>
      </c>
      <c r="H21" s="243">
        <f ca="1">SUM(H9:H20)</f>
        <v>-13100.907489819245</v>
      </c>
      <c r="I21" s="488"/>
      <c r="J21" s="243">
        <f t="shared" ref="J21:AZ21" ca="1" si="3">SUM(J9:J20)</f>
        <v>-35329.923452486117</v>
      </c>
      <c r="K21" s="243">
        <f t="shared" ca="1" si="3"/>
        <v>-13100.907489819245</v>
      </c>
      <c r="L21" s="251">
        <f t="shared" si="3"/>
        <v>0</v>
      </c>
      <c r="M21" s="252">
        <f t="shared" si="3"/>
        <v>-9.6278000000000006</v>
      </c>
      <c r="N21" s="252">
        <f t="shared" si="3"/>
        <v>-74.852665618512248</v>
      </c>
      <c r="O21" s="252">
        <f t="shared" si="3"/>
        <v>-143.34600408396014</v>
      </c>
      <c r="P21" s="252">
        <f t="shared" si="3"/>
        <v>-221.40191068909044</v>
      </c>
      <c r="Q21" s="252">
        <f t="shared" si="3"/>
        <v>-14.316016678088269</v>
      </c>
      <c r="R21" s="252">
        <f t="shared" si="3"/>
        <v>-2.4305764579831179</v>
      </c>
      <c r="S21" s="252">
        <f t="shared" si="3"/>
        <v>-472.39278561449589</v>
      </c>
      <c r="T21" s="252">
        <f t="shared" si="3"/>
        <v>-4284.4333489780383</v>
      </c>
      <c r="U21" s="252">
        <f t="shared" si="3"/>
        <v>-3379.8323196982556</v>
      </c>
      <c r="V21" s="252">
        <f t="shared" si="3"/>
        <v>-1307.1448918385443</v>
      </c>
      <c r="W21" s="252">
        <f t="shared" si="3"/>
        <v>-1479.752526414976</v>
      </c>
      <c r="X21" s="252">
        <f t="shared" si="3"/>
        <v>-1934.3590907542259</v>
      </c>
      <c r="Y21" s="252">
        <f t="shared" si="3"/>
        <v>-2514.5865042303726</v>
      </c>
      <c r="Z21" s="252">
        <f t="shared" si="3"/>
        <v>-2343.8481165469407</v>
      </c>
      <c r="AA21" s="252">
        <f t="shared" si="3"/>
        <v>-2078.2964416607738</v>
      </c>
      <c r="AB21" s="252">
        <f t="shared" si="3"/>
        <v>-1835.5963395470615</v>
      </c>
      <c r="AC21" s="252">
        <f t="shared" si="3"/>
        <v>-1632.7475122227622</v>
      </c>
      <c r="AD21" s="252">
        <f t="shared" si="3"/>
        <v>-1447.204297079157</v>
      </c>
      <c r="AE21" s="252">
        <f t="shared" si="3"/>
        <v>-1285.6294783442024</v>
      </c>
      <c r="AF21" s="252">
        <f t="shared" si="3"/>
        <v>-1139.6804855651158</v>
      </c>
      <c r="AG21" s="252">
        <f t="shared" si="3"/>
        <v>-1018.1872710601797</v>
      </c>
      <c r="AH21" s="252">
        <f t="shared" si="3"/>
        <v>-908.12941050494214</v>
      </c>
      <c r="AI21" s="252">
        <f t="shared" si="3"/>
        <v>-812.66448010203885</v>
      </c>
      <c r="AJ21" s="252">
        <f t="shared" si="3"/>
        <v>-727.13724178685004</v>
      </c>
      <c r="AK21" s="252">
        <f t="shared" si="3"/>
        <v>-656.22402373150749</v>
      </c>
      <c r="AL21" s="252">
        <f t="shared" si="3"/>
        <v>-592.50293082789017</v>
      </c>
      <c r="AM21" s="252">
        <f t="shared" si="3"/>
        <v>-537.47652777709141</v>
      </c>
      <c r="AN21" s="252">
        <f t="shared" si="3"/>
        <v>-488.60127287016678</v>
      </c>
      <c r="AO21" s="252">
        <f t="shared" si="3"/>
        <v>-448.37560007054822</v>
      </c>
      <c r="AP21" s="252">
        <f t="shared" si="3"/>
        <v>-412.59540865549053</v>
      </c>
      <c r="AQ21" s="252">
        <f t="shared" si="3"/>
        <v>-382.98497733126067</v>
      </c>
      <c r="AR21" s="252">
        <f t="shared" si="3"/>
        <v>-369.28955776442149</v>
      </c>
      <c r="AS21" s="252">
        <f t="shared" si="3"/>
        <v>-374.27563798117279</v>
      </c>
      <c r="AT21" s="252">
        <f t="shared" si="3"/>
        <v>0</v>
      </c>
      <c r="AU21" s="252">
        <f t="shared" si="3"/>
        <v>0</v>
      </c>
      <c r="AV21" s="252">
        <f t="shared" si="3"/>
        <v>0</v>
      </c>
      <c r="AW21" s="252">
        <f t="shared" si="3"/>
        <v>0</v>
      </c>
      <c r="AX21" s="252">
        <f t="shared" si="3"/>
        <v>0</v>
      </c>
      <c r="AY21" s="252">
        <f t="shared" si="3"/>
        <v>0</v>
      </c>
      <c r="AZ21" s="252">
        <f t="shared" si="3"/>
        <v>0</v>
      </c>
      <c r="BA21" s="14"/>
      <c r="BB21" s="14"/>
      <c r="BC21" s="14"/>
      <c r="BD21" s="14"/>
      <c r="BE21" s="14"/>
      <c r="BF21" s="14"/>
      <c r="BG21" s="14"/>
      <c r="BH21" s="14"/>
      <c r="BI21" s="14"/>
      <c r="BJ21" s="14"/>
      <c r="BK21" s="14"/>
      <c r="BL21" s="14"/>
      <c r="BM21" s="14"/>
      <c r="BN21" s="14"/>
      <c r="BO21" s="14"/>
      <c r="BP21" s="14"/>
    </row>
    <row r="22" spans="1:68" ht="15.75">
      <c r="B22" s="235" t="str">
        <f>Input!A14</f>
        <v>Mean Reserves (mmbbl)</v>
      </c>
      <c r="C22" s="248">
        <f>Input!B14</f>
        <v>290</v>
      </c>
      <c r="D22" s="14"/>
      <c r="E22" s="241" t="s">
        <v>135</v>
      </c>
      <c r="F22" s="259"/>
      <c r="G22" s="243">
        <f>G8+G21</f>
        <v>16890.989512220003</v>
      </c>
      <c r="H22" s="243">
        <f ca="1">H8+H21</f>
        <v>4570.9902501042889</v>
      </c>
      <c r="I22" s="238"/>
      <c r="J22" s="243">
        <f t="shared" ref="J22:AZ22" ca="1" si="4">J8+J21</f>
        <v>16890.989512220003</v>
      </c>
      <c r="K22" s="243">
        <f t="shared" ca="1" si="4"/>
        <v>4570.9902501042889</v>
      </c>
      <c r="L22" s="251">
        <f t="shared" si="4"/>
        <v>0</v>
      </c>
      <c r="M22" s="252">
        <f t="shared" si="4"/>
        <v>-9.6278000000000006</v>
      </c>
      <c r="N22" s="252">
        <f t="shared" si="4"/>
        <v>-74.852665618512248</v>
      </c>
      <c r="O22" s="252">
        <f t="shared" si="4"/>
        <v>-143.34600408396014</v>
      </c>
      <c r="P22" s="252">
        <f t="shared" si="4"/>
        <v>-221.40191068909044</v>
      </c>
      <c r="Q22" s="252">
        <f t="shared" si="4"/>
        <v>-14.316016678088269</v>
      </c>
      <c r="R22" s="252">
        <f t="shared" si="4"/>
        <v>-2.4305764579831179</v>
      </c>
      <c r="S22" s="252">
        <f t="shared" si="4"/>
        <v>-472.39278561449589</v>
      </c>
      <c r="T22" s="252">
        <f t="shared" si="4"/>
        <v>-4284.4333489780383</v>
      </c>
      <c r="U22" s="252">
        <f t="shared" si="4"/>
        <v>-850.89997663107852</v>
      </c>
      <c r="V22" s="252">
        <f t="shared" si="4"/>
        <v>3167.5087241104284</v>
      </c>
      <c r="W22" s="252">
        <f t="shared" si="4"/>
        <v>3116.5480935741389</v>
      </c>
      <c r="X22" s="252">
        <f t="shared" si="4"/>
        <v>2799.8305478345637</v>
      </c>
      <c r="Y22" s="252">
        <f t="shared" si="4"/>
        <v>2229.5777113024192</v>
      </c>
      <c r="Z22" s="252">
        <f t="shared" si="4"/>
        <v>1880.9769526808609</v>
      </c>
      <c r="AA22" s="252">
        <f t="shared" si="4"/>
        <v>1609.5884169162664</v>
      </c>
      <c r="AB22" s="252">
        <f t="shared" si="4"/>
        <v>1393.1468541371353</v>
      </c>
      <c r="AC22" s="252">
        <f t="shared" si="4"/>
        <v>1194.0171538477514</v>
      </c>
      <c r="AD22" s="252">
        <f t="shared" si="4"/>
        <v>1033.8710896065306</v>
      </c>
      <c r="AE22" s="252">
        <f t="shared" si="4"/>
        <v>880.1218135119359</v>
      </c>
      <c r="AF22" s="252">
        <f t="shared" si="4"/>
        <v>756.43477045493592</v>
      </c>
      <c r="AG22" s="252">
        <f t="shared" si="4"/>
        <v>641.86163558537373</v>
      </c>
      <c r="AH22" s="252">
        <f t="shared" si="4"/>
        <v>548.90963218911406</v>
      </c>
      <c r="AI22" s="252">
        <f t="shared" si="4"/>
        <v>459.19699010295926</v>
      </c>
      <c r="AJ22" s="252">
        <f t="shared" si="4"/>
        <v>386.37747537762345</v>
      </c>
      <c r="AK22" s="252">
        <f t="shared" si="4"/>
        <v>318.65811114598785</v>
      </c>
      <c r="AL22" s="252">
        <f t="shared" si="4"/>
        <v>263.15940951346931</v>
      </c>
      <c r="AM22" s="252">
        <f t="shared" si="4"/>
        <v>209.43822899797408</v>
      </c>
      <c r="AN22" s="252">
        <f t="shared" si="4"/>
        <v>165.32259668640495</v>
      </c>
      <c r="AO22" s="252">
        <f t="shared" si="4"/>
        <v>124.13474772622976</v>
      </c>
      <c r="AP22" s="252">
        <f t="shared" si="4"/>
        <v>89.901792328700481</v>
      </c>
      <c r="AQ22" s="252">
        <f t="shared" si="4"/>
        <v>55.648998897643651</v>
      </c>
      <c r="AR22" s="252">
        <f t="shared" si="4"/>
        <v>14.734488423982782</v>
      </c>
      <c r="AS22" s="252">
        <f t="shared" si="4"/>
        <v>-374.27563798117279</v>
      </c>
      <c r="AT22" s="252">
        <f t="shared" si="4"/>
        <v>0</v>
      </c>
      <c r="AU22" s="252">
        <f t="shared" si="4"/>
        <v>0</v>
      </c>
      <c r="AV22" s="252">
        <f t="shared" si="4"/>
        <v>0</v>
      </c>
      <c r="AW22" s="252">
        <f t="shared" si="4"/>
        <v>0</v>
      </c>
      <c r="AX22" s="252">
        <f t="shared" si="4"/>
        <v>0</v>
      </c>
      <c r="AY22" s="252">
        <f t="shared" si="4"/>
        <v>0</v>
      </c>
      <c r="AZ22" s="252">
        <f t="shared" si="4"/>
        <v>0</v>
      </c>
      <c r="BA22" s="14"/>
      <c r="BB22" s="14"/>
      <c r="BC22" s="14"/>
      <c r="BD22" s="14"/>
      <c r="BE22" s="14"/>
      <c r="BF22" s="14"/>
      <c r="BG22" s="14"/>
      <c r="BH22" s="14"/>
      <c r="BI22" s="14"/>
      <c r="BJ22" s="14"/>
      <c r="BK22" s="14"/>
      <c r="BL22" s="14"/>
      <c r="BM22" s="14"/>
      <c r="BN22" s="14"/>
      <c r="BO22" s="14"/>
      <c r="BP22" s="14"/>
    </row>
    <row r="23" spans="1:68" ht="15.75">
      <c r="B23" s="235" t="s">
        <v>90</v>
      </c>
      <c r="C23" s="248">
        <f>Input!B27</f>
        <v>5000</v>
      </c>
      <c r="D23" s="14"/>
      <c r="E23" s="396" t="s">
        <v>930</v>
      </c>
      <c r="F23" s="397"/>
      <c r="G23" s="397"/>
      <c r="H23" s="397"/>
      <c r="I23" s="397"/>
      <c r="J23" s="397"/>
      <c r="K23" s="398"/>
      <c r="L23" s="399">
        <f>L22+K23</f>
        <v>0</v>
      </c>
      <c r="M23" s="252">
        <f t="shared" ref="M23:AZ23" si="5">M22+L23</f>
        <v>-9.6278000000000006</v>
      </c>
      <c r="N23" s="252">
        <f t="shared" si="5"/>
        <v>-84.480465618512255</v>
      </c>
      <c r="O23" s="252">
        <f t="shared" si="5"/>
        <v>-227.82646970247239</v>
      </c>
      <c r="P23" s="252">
        <f t="shared" si="5"/>
        <v>-449.22838039156284</v>
      </c>
      <c r="Q23" s="252">
        <f t="shared" si="5"/>
        <v>-463.5443970696511</v>
      </c>
      <c r="R23" s="252">
        <f t="shared" si="5"/>
        <v>-465.97497352763423</v>
      </c>
      <c r="S23" s="252">
        <f t="shared" si="5"/>
        <v>-938.36775914213013</v>
      </c>
      <c r="T23" s="252">
        <f t="shared" si="5"/>
        <v>-5222.8011081201685</v>
      </c>
      <c r="U23" s="252">
        <f t="shared" si="5"/>
        <v>-6073.7010847512465</v>
      </c>
      <c r="V23" s="252">
        <f t="shared" si="5"/>
        <v>-2906.1923606408182</v>
      </c>
      <c r="W23" s="252">
        <f t="shared" si="5"/>
        <v>210.35573293332072</v>
      </c>
      <c r="X23" s="252">
        <f t="shared" si="5"/>
        <v>3010.1862807678845</v>
      </c>
      <c r="Y23" s="252">
        <f t="shared" si="5"/>
        <v>5239.7639920703041</v>
      </c>
      <c r="Z23" s="252">
        <f t="shared" si="5"/>
        <v>7120.7409447511654</v>
      </c>
      <c r="AA23" s="252">
        <f t="shared" si="5"/>
        <v>8730.3293616674309</v>
      </c>
      <c r="AB23" s="252">
        <f t="shared" si="5"/>
        <v>10123.476215804567</v>
      </c>
      <c r="AC23" s="252">
        <f t="shared" si="5"/>
        <v>11317.493369652319</v>
      </c>
      <c r="AD23" s="252">
        <f t="shared" si="5"/>
        <v>12351.36445925885</v>
      </c>
      <c r="AE23" s="252">
        <f t="shared" si="5"/>
        <v>13231.486272770786</v>
      </c>
      <c r="AF23" s="252">
        <f t="shared" si="5"/>
        <v>13987.921043225722</v>
      </c>
      <c r="AG23" s="252">
        <f t="shared" si="5"/>
        <v>14629.782678811096</v>
      </c>
      <c r="AH23" s="252">
        <f t="shared" si="5"/>
        <v>15178.69231100021</v>
      </c>
      <c r="AI23" s="252">
        <f t="shared" si="5"/>
        <v>15637.889301103169</v>
      </c>
      <c r="AJ23" s="252">
        <f t="shared" si="5"/>
        <v>16024.266776480792</v>
      </c>
      <c r="AK23" s="252">
        <f t="shared" si="5"/>
        <v>16342.924887626779</v>
      </c>
      <c r="AL23" s="252">
        <f t="shared" si="5"/>
        <v>16606.084297140249</v>
      </c>
      <c r="AM23" s="252">
        <f t="shared" si="5"/>
        <v>16815.522526138222</v>
      </c>
      <c r="AN23" s="252">
        <f t="shared" si="5"/>
        <v>16980.845122824627</v>
      </c>
      <c r="AO23" s="252">
        <f t="shared" si="5"/>
        <v>17104.979870550858</v>
      </c>
      <c r="AP23" s="252">
        <f t="shared" si="5"/>
        <v>17194.881662879558</v>
      </c>
      <c r="AQ23" s="252">
        <f t="shared" si="5"/>
        <v>17250.5306617772</v>
      </c>
      <c r="AR23" s="252">
        <f t="shared" si="5"/>
        <v>17265.265150201183</v>
      </c>
      <c r="AS23" s="252">
        <f t="shared" si="5"/>
        <v>16890.989512220011</v>
      </c>
      <c r="AT23" s="252">
        <f t="shared" si="5"/>
        <v>16890.989512220011</v>
      </c>
      <c r="AU23" s="252">
        <f t="shared" si="5"/>
        <v>16890.989512220011</v>
      </c>
      <c r="AV23" s="252">
        <f t="shared" si="5"/>
        <v>16890.989512220011</v>
      </c>
      <c r="AW23" s="252">
        <f t="shared" si="5"/>
        <v>16890.989512220011</v>
      </c>
      <c r="AX23" s="252">
        <f t="shared" si="5"/>
        <v>16890.989512220011</v>
      </c>
      <c r="AY23" s="252">
        <f t="shared" si="5"/>
        <v>16890.989512220011</v>
      </c>
      <c r="AZ23" s="460">
        <f t="shared" si="5"/>
        <v>16890.989512220011</v>
      </c>
      <c r="BA23" s="14"/>
      <c r="BB23" s="14"/>
      <c r="BC23" s="14"/>
      <c r="BD23" s="14"/>
      <c r="BE23" s="14"/>
      <c r="BF23" s="14"/>
      <c r="BG23" s="14"/>
      <c r="BH23" s="14"/>
      <c r="BI23" s="14"/>
      <c r="BJ23" s="14"/>
      <c r="BK23" s="14"/>
      <c r="BL23" s="14"/>
      <c r="BM23" s="14"/>
      <c r="BN23" s="14"/>
      <c r="BO23" s="14"/>
      <c r="BP23" s="14"/>
    </row>
    <row r="24" spans="1:68" ht="15.75">
      <c r="B24" s="235" t="s">
        <v>91</v>
      </c>
      <c r="C24" s="248" t="str">
        <f>Input!B28</f>
        <v>Low</v>
      </c>
      <c r="D24" s="14"/>
      <c r="E24" s="260"/>
      <c r="F24" s="260"/>
      <c r="G24" s="260"/>
      <c r="H24" s="260"/>
      <c r="I24" s="260"/>
      <c r="J24" s="260"/>
      <c r="K24" s="260"/>
      <c r="L24" s="260"/>
      <c r="M24" s="260"/>
      <c r="N24" s="260"/>
      <c r="O24" s="260"/>
      <c r="P24" s="260"/>
      <c r="Q24" s="260"/>
      <c r="R24" s="260"/>
      <c r="S24" s="260"/>
      <c r="T24" s="260"/>
      <c r="U24" s="260"/>
      <c r="V24" s="260"/>
      <c r="W24" s="260"/>
      <c r="X24" s="260"/>
      <c r="Y24" s="260"/>
      <c r="Z24" s="260"/>
      <c r="AA24" s="260"/>
      <c r="AB24" s="260"/>
      <c r="AC24" s="260"/>
      <c r="AD24" s="260"/>
      <c r="AE24" s="260"/>
      <c r="AF24" s="260"/>
      <c r="AG24" s="260"/>
      <c r="AH24" s="260"/>
      <c r="AI24" s="260"/>
      <c r="AJ24" s="260"/>
      <c r="AK24" s="260"/>
      <c r="AL24" s="260"/>
      <c r="AM24" s="260"/>
      <c r="AN24" s="260"/>
      <c r="AO24" s="260"/>
      <c r="AP24" s="260"/>
      <c r="AQ24" s="260"/>
      <c r="AR24" s="260"/>
      <c r="AS24" s="260"/>
      <c r="AT24" s="260"/>
      <c r="AU24" s="260"/>
      <c r="AV24" s="260"/>
      <c r="AW24" s="260"/>
      <c r="AX24" s="260"/>
      <c r="AY24" s="260"/>
      <c r="AZ24" s="260"/>
      <c r="BA24" s="14"/>
      <c r="BB24" s="14"/>
      <c r="BC24" s="14"/>
      <c r="BD24" s="14"/>
      <c r="BE24" s="14"/>
      <c r="BF24" s="14"/>
      <c r="BG24" s="14"/>
      <c r="BH24" s="14"/>
      <c r="BI24" s="14"/>
      <c r="BJ24" s="14"/>
      <c r="BK24" s="14"/>
      <c r="BL24" s="14"/>
      <c r="BM24" s="14"/>
      <c r="BN24" s="14"/>
      <c r="BO24" s="14"/>
      <c r="BP24" s="14"/>
    </row>
    <row r="25" spans="1:68" ht="15.75">
      <c r="B25" s="235" t="s">
        <v>93</v>
      </c>
      <c r="C25" s="248" t="str">
        <f>Input!B29</f>
        <v>Medium</v>
      </c>
      <c r="D25" s="14"/>
      <c r="E25" s="260"/>
      <c r="F25" s="260"/>
      <c r="G25" s="260"/>
      <c r="H25" s="260"/>
      <c r="I25" s="260"/>
      <c r="J25" s="260"/>
      <c r="K25" s="260"/>
      <c r="L25" s="260"/>
      <c r="M25" s="260"/>
      <c r="N25" s="260"/>
      <c r="O25" s="260"/>
      <c r="P25" s="260"/>
      <c r="Q25" s="260"/>
      <c r="R25" s="260"/>
      <c r="S25" s="260"/>
      <c r="T25" s="237">
        <f t="shared" ref="T25:T34" si="6">S25-R25</f>
        <v>0</v>
      </c>
      <c r="U25" s="260"/>
      <c r="V25" s="260"/>
      <c r="W25" s="260"/>
      <c r="X25" s="260"/>
      <c r="Y25" s="260"/>
      <c r="Z25" s="260"/>
      <c r="AA25" s="260"/>
      <c r="AB25" s="260"/>
      <c r="AC25" s="260"/>
      <c r="AD25" s="260"/>
      <c r="AE25" s="260"/>
      <c r="AF25" s="260"/>
      <c r="AG25" s="260"/>
      <c r="AH25" s="260"/>
      <c r="AI25" s="260"/>
      <c r="AJ25" s="260"/>
      <c r="AK25" s="260"/>
      <c r="AL25" s="260"/>
      <c r="AM25" s="260"/>
      <c r="AN25" s="260"/>
      <c r="AO25" s="260"/>
      <c r="AP25" s="260"/>
      <c r="AQ25" s="260"/>
      <c r="AR25" s="260"/>
      <c r="AS25" s="260"/>
      <c r="AT25" s="260"/>
      <c r="AU25" s="260"/>
      <c r="AV25" s="260"/>
      <c r="AW25" s="260"/>
      <c r="AX25" s="260"/>
      <c r="AY25" s="260"/>
      <c r="AZ25" s="260"/>
      <c r="BA25" s="14"/>
      <c r="BB25" s="14"/>
      <c r="BC25" s="14"/>
      <c r="BD25" s="14"/>
      <c r="BE25" s="14"/>
      <c r="BF25" s="14"/>
      <c r="BG25" s="14"/>
      <c r="BH25" s="14"/>
      <c r="BI25" s="14"/>
      <c r="BJ25" s="14"/>
      <c r="BK25" s="14"/>
      <c r="BL25" s="14"/>
      <c r="BM25" s="14"/>
      <c r="BN25" s="14"/>
      <c r="BO25" s="14"/>
      <c r="BP25" s="14"/>
    </row>
    <row r="26" spans="1:68" ht="15.75">
      <c r="B26" s="235" t="s">
        <v>94</v>
      </c>
      <c r="C26" s="248" t="str">
        <f>Input!B30</f>
        <v>Normally Pressured</v>
      </c>
      <c r="D26" s="14"/>
      <c r="E26" s="260"/>
      <c r="F26" s="260"/>
      <c r="G26" s="260"/>
      <c r="H26" s="260"/>
      <c r="I26" s="260"/>
      <c r="J26" s="260"/>
      <c r="K26" s="260"/>
      <c r="L26" s="260"/>
      <c r="M26" s="260"/>
      <c r="N26" s="260"/>
      <c r="O26" s="260"/>
      <c r="P26" s="260"/>
      <c r="Q26" s="260"/>
      <c r="R26" s="260"/>
      <c r="S26" s="486"/>
      <c r="T26" s="237"/>
      <c r="U26" s="26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260"/>
      <c r="AS26" s="260"/>
      <c r="AT26" s="260"/>
      <c r="AU26" s="260"/>
      <c r="AV26" s="260"/>
      <c r="AW26" s="260"/>
      <c r="AX26" s="260"/>
      <c r="AY26" s="260"/>
      <c r="AZ26" s="260"/>
      <c r="BA26" s="14"/>
      <c r="BB26" s="14"/>
      <c r="BC26" s="14"/>
      <c r="BD26" s="14"/>
      <c r="BE26" s="14"/>
      <c r="BF26" s="14"/>
      <c r="BG26" s="14"/>
      <c r="BH26" s="14"/>
      <c r="BI26" s="14"/>
      <c r="BJ26" s="14"/>
      <c r="BK26" s="14"/>
      <c r="BL26" s="14"/>
      <c r="BM26" s="14"/>
      <c r="BN26" s="14"/>
      <c r="BO26" s="14"/>
      <c r="BP26" s="14"/>
    </row>
    <row r="27" spans="1:68" ht="15.75">
      <c r="B27" s="235" t="s">
        <v>96</v>
      </c>
      <c r="C27" s="248">
        <f>Input!B31</f>
        <v>1040</v>
      </c>
      <c r="D27" s="14"/>
      <c r="E27" s="260"/>
      <c r="F27" s="260"/>
      <c r="G27" s="260"/>
      <c r="H27" s="260"/>
      <c r="I27" s="260"/>
      <c r="J27" s="260"/>
      <c r="K27" s="260"/>
      <c r="L27" s="260"/>
      <c r="M27" s="486"/>
      <c r="N27" s="486"/>
      <c r="O27" s="486"/>
      <c r="P27" s="486"/>
      <c r="Q27" s="486"/>
      <c r="R27" s="486"/>
      <c r="S27" s="485"/>
      <c r="T27" s="237"/>
      <c r="U27" s="260"/>
      <c r="V27" s="260"/>
      <c r="W27" s="260"/>
      <c r="X27" s="260"/>
      <c r="Y27" s="260"/>
      <c r="Z27" s="260"/>
      <c r="AA27" s="260"/>
      <c r="AB27" s="260"/>
      <c r="AC27" s="260"/>
      <c r="AD27" s="260"/>
      <c r="AE27" s="260"/>
      <c r="AF27" s="260"/>
      <c r="AG27" s="260"/>
      <c r="AH27" s="260"/>
      <c r="AI27" s="260"/>
      <c r="AJ27" s="260"/>
      <c r="AK27" s="260"/>
      <c r="AL27" s="260"/>
      <c r="AM27" s="260"/>
      <c r="AN27" s="260"/>
      <c r="AO27" s="260"/>
      <c r="AP27" s="260"/>
      <c r="AQ27" s="260"/>
      <c r="AR27" s="260"/>
      <c r="AS27" s="260"/>
      <c r="AT27" s="260"/>
      <c r="AU27" s="260"/>
      <c r="AV27" s="260"/>
      <c r="AW27" s="260"/>
      <c r="AX27" s="260"/>
      <c r="AY27" s="260"/>
      <c r="AZ27" s="260"/>
      <c r="BA27" s="14"/>
      <c r="BB27" s="14"/>
      <c r="BC27" s="14"/>
      <c r="BD27" s="14"/>
      <c r="BE27" s="14"/>
      <c r="BF27" s="14"/>
      <c r="BG27" s="14"/>
      <c r="BH27" s="14"/>
      <c r="BI27" s="14"/>
      <c r="BJ27" s="14"/>
      <c r="BK27" s="14"/>
      <c r="BL27" s="14"/>
      <c r="BM27" s="14"/>
      <c r="BN27" s="14"/>
      <c r="BO27" s="14"/>
      <c r="BP27" s="14"/>
    </row>
    <row r="28" spans="1:68" ht="15.75">
      <c r="B28" s="235" t="s">
        <v>97</v>
      </c>
      <c r="C28" s="248">
        <f>Input!B32</f>
        <v>3333.3</v>
      </c>
      <c r="D28" s="14"/>
      <c r="E28" s="260"/>
      <c r="F28" s="260"/>
      <c r="G28" s="260"/>
      <c r="H28" s="260"/>
      <c r="I28" s="260"/>
      <c r="J28" s="260"/>
      <c r="K28" s="260"/>
      <c r="L28" s="260"/>
      <c r="M28" s="260"/>
      <c r="N28" s="260"/>
      <c r="O28" s="260"/>
      <c r="P28" s="260"/>
      <c r="Q28" s="260"/>
      <c r="R28" s="260"/>
      <c r="S28" s="486"/>
      <c r="T28" s="237"/>
      <c r="U28" s="260"/>
      <c r="V28" s="260"/>
      <c r="W28" s="260"/>
      <c r="X28" s="260"/>
      <c r="Y28" s="260"/>
      <c r="Z28" s="260"/>
      <c r="AA28" s="260"/>
      <c r="AB28" s="260"/>
      <c r="AC28" s="260"/>
      <c r="AD28" s="260"/>
      <c r="AE28" s="260"/>
      <c r="AF28" s="260"/>
      <c r="AG28" s="260"/>
      <c r="AH28" s="260"/>
      <c r="AI28" s="260"/>
      <c r="AJ28" s="260"/>
      <c r="AK28" s="260"/>
      <c r="AL28" s="260"/>
      <c r="AM28" s="260"/>
      <c r="AN28" s="260"/>
      <c r="AO28" s="260"/>
      <c r="AP28" s="260"/>
      <c r="AQ28" s="260"/>
      <c r="AR28" s="260"/>
      <c r="AS28" s="260"/>
      <c r="AT28" s="260"/>
      <c r="AU28" s="260"/>
      <c r="AV28" s="260"/>
      <c r="AW28" s="260"/>
      <c r="AX28" s="260"/>
      <c r="AY28" s="260"/>
      <c r="AZ28" s="260"/>
      <c r="BA28" s="14"/>
      <c r="BB28" s="14"/>
      <c r="BC28" s="14"/>
      <c r="BD28" s="14"/>
      <c r="BE28" s="14"/>
      <c r="BF28" s="14"/>
      <c r="BG28" s="14"/>
      <c r="BH28" s="14"/>
      <c r="BI28" s="14"/>
      <c r="BJ28" s="14"/>
      <c r="BK28" s="14"/>
      <c r="BL28" s="14"/>
      <c r="BM28" s="14"/>
      <c r="BN28" s="14"/>
      <c r="BO28" s="14"/>
      <c r="BP28" s="14"/>
    </row>
    <row r="29" spans="1:68" ht="15.75">
      <c r="B29" s="235" t="s">
        <v>98</v>
      </c>
      <c r="C29" s="248" t="str">
        <f>Input!B33</f>
        <v>Sweet</v>
      </c>
      <c r="D29" s="14"/>
      <c r="E29" s="260"/>
      <c r="F29" s="260"/>
      <c r="G29" s="260"/>
      <c r="H29" s="260"/>
      <c r="I29" s="260"/>
      <c r="J29" s="260"/>
      <c r="K29" s="260"/>
      <c r="L29" s="260"/>
      <c r="M29" s="260"/>
      <c r="N29" s="260"/>
      <c r="O29" s="260"/>
      <c r="P29" s="260"/>
      <c r="Q29" s="260"/>
      <c r="R29" s="260"/>
      <c r="S29" s="260"/>
      <c r="T29" s="237">
        <f t="shared" si="6"/>
        <v>0</v>
      </c>
      <c r="U29" s="26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260"/>
      <c r="AU29" s="260"/>
      <c r="AV29" s="260"/>
      <c r="AW29" s="260"/>
      <c r="AX29" s="260"/>
      <c r="AY29" s="260"/>
      <c r="AZ29" s="260"/>
      <c r="BA29" s="14"/>
      <c r="BB29" s="14"/>
      <c r="BC29" s="14"/>
      <c r="BD29" s="14"/>
      <c r="BE29" s="14"/>
      <c r="BF29" s="14"/>
      <c r="BG29" s="14"/>
      <c r="BH29" s="14"/>
      <c r="BI29" s="14"/>
      <c r="BJ29" s="14"/>
      <c r="BK29" s="14"/>
      <c r="BL29" s="14"/>
      <c r="BM29" s="14"/>
      <c r="BN29" s="14"/>
      <c r="BO29" s="14"/>
      <c r="BP29" s="14"/>
    </row>
    <row r="30" spans="1:68" ht="15.75">
      <c r="B30" s="235" t="s">
        <v>100</v>
      </c>
      <c r="C30" s="248">
        <f>Input!B15</f>
        <v>3000</v>
      </c>
      <c r="D30" s="14"/>
      <c r="E30" s="14"/>
      <c r="F30" s="14"/>
      <c r="G30" s="14"/>
      <c r="H30" s="14"/>
      <c r="I30" s="14"/>
      <c r="J30" s="14"/>
      <c r="K30" s="14"/>
      <c r="L30" s="14"/>
      <c r="M30" s="14"/>
      <c r="N30" s="260"/>
      <c r="O30" s="260"/>
      <c r="P30" s="260"/>
      <c r="Q30" s="260"/>
      <c r="R30" s="260"/>
      <c r="S30" s="14"/>
      <c r="T30" s="237">
        <f t="shared" si="6"/>
        <v>0</v>
      </c>
      <c r="U30" s="14"/>
      <c r="V30" s="14"/>
      <c r="W30" s="14"/>
      <c r="X30" s="14"/>
      <c r="Y30" s="14"/>
      <c r="Z30" s="14"/>
      <c r="AA30" s="14"/>
      <c r="AB30" s="14"/>
      <c r="AC30" s="14"/>
      <c r="AD30" s="14"/>
      <c r="AE30" s="14"/>
      <c r="AF30" s="14"/>
      <c r="AG30" s="14"/>
      <c r="AH30" s="14"/>
      <c r="AI30" s="14"/>
      <c r="AJ30" s="14"/>
      <c r="AK30" s="14"/>
      <c r="AL30" s="14"/>
      <c r="AM30" s="14"/>
      <c r="AN30" s="14"/>
      <c r="AO30" s="14"/>
      <c r="AP30" s="14"/>
      <c r="AQ30" s="14"/>
      <c r="AR30" s="14"/>
      <c r="AS30" s="14"/>
      <c r="AT30" s="14"/>
      <c r="AU30" s="14"/>
      <c r="AV30" s="14"/>
      <c r="AW30" s="14"/>
      <c r="AX30" s="14"/>
      <c r="AY30" s="14"/>
      <c r="AZ30" s="14"/>
      <c r="BA30" s="14"/>
      <c r="BB30" s="14"/>
      <c r="BC30" s="14"/>
      <c r="BD30" s="14"/>
      <c r="BE30" s="14"/>
      <c r="BF30" s="14"/>
      <c r="BG30" s="14"/>
      <c r="BH30" s="14"/>
      <c r="BI30" s="14"/>
      <c r="BJ30" s="14"/>
      <c r="BK30" s="14"/>
      <c r="BL30" s="14"/>
      <c r="BM30" s="14"/>
      <c r="BN30" s="14"/>
      <c r="BO30" s="14"/>
      <c r="BP30" s="14"/>
    </row>
    <row r="31" spans="1:68" ht="18.75">
      <c r="B31" s="595" t="s">
        <v>102</v>
      </c>
      <c r="C31" s="596"/>
      <c r="D31" s="14"/>
      <c r="E31" s="14"/>
      <c r="F31" s="14"/>
      <c r="G31" s="14"/>
      <c r="H31" s="14"/>
      <c r="I31" s="14"/>
      <c r="J31" s="14"/>
      <c r="K31" s="14"/>
      <c r="L31" s="14"/>
      <c r="M31" s="14"/>
      <c r="N31" s="260"/>
      <c r="O31" s="260"/>
      <c r="P31" s="260"/>
      <c r="Q31" s="260"/>
      <c r="R31" s="260"/>
      <c r="S31" s="14"/>
      <c r="T31" s="237">
        <f t="shared" si="6"/>
        <v>0</v>
      </c>
      <c r="U31" s="14"/>
      <c r="V31" s="14"/>
      <c r="W31" s="14"/>
      <c r="X31" s="14"/>
      <c r="Y31" s="14"/>
      <c r="Z31" s="14"/>
      <c r="AA31" s="14"/>
      <c r="AB31" s="14"/>
      <c r="AC31" s="14"/>
      <c r="AD31" s="14"/>
      <c r="AE31" s="14"/>
      <c r="AF31" s="14"/>
      <c r="AG31" s="14"/>
      <c r="AH31" s="14"/>
      <c r="AI31" s="14"/>
      <c r="AJ31" s="14"/>
      <c r="AK31" s="14"/>
      <c r="AL31" s="14"/>
      <c r="AM31" s="14"/>
      <c r="AN31" s="14"/>
      <c r="AO31" s="14"/>
      <c r="AP31" s="14"/>
      <c r="AQ31" s="14"/>
      <c r="AR31" s="14"/>
      <c r="AS31" s="14"/>
      <c r="AT31" s="14"/>
      <c r="AU31" s="14"/>
      <c r="AV31" s="14"/>
      <c r="AW31" s="14"/>
      <c r="AX31" s="14"/>
      <c r="AY31" s="14"/>
      <c r="AZ31" s="14"/>
      <c r="BA31" s="14"/>
      <c r="BB31" s="14"/>
      <c r="BC31" s="14"/>
      <c r="BD31" s="14"/>
      <c r="BE31" s="14"/>
      <c r="BF31" s="14"/>
      <c r="BG31" s="14"/>
      <c r="BH31" s="14"/>
      <c r="BI31" s="14"/>
      <c r="BJ31" s="14"/>
      <c r="BK31" s="14"/>
      <c r="BL31" s="14"/>
      <c r="BM31" s="14"/>
      <c r="BN31" s="14"/>
      <c r="BO31" s="14"/>
      <c r="BP31" s="14"/>
    </row>
    <row r="32" spans="1:68" ht="15.75">
      <c r="B32" s="235" t="s">
        <v>103</v>
      </c>
      <c r="C32" s="248" t="str">
        <f>Input!B36</f>
        <v>No</v>
      </c>
      <c r="D32" s="14"/>
      <c r="E32" s="14"/>
      <c r="F32" s="14"/>
      <c r="G32" s="14"/>
      <c r="H32" s="14"/>
      <c r="I32" s="14"/>
      <c r="J32" s="14"/>
      <c r="K32" s="14"/>
      <c r="L32" s="14"/>
      <c r="M32" s="14"/>
      <c r="N32" s="14"/>
      <c r="O32" s="14"/>
      <c r="P32" s="14"/>
      <c r="Q32" s="14"/>
      <c r="R32" s="14"/>
      <c r="S32" s="14"/>
      <c r="T32" s="237">
        <f t="shared" si="6"/>
        <v>0</v>
      </c>
      <c r="U32" s="14"/>
      <c r="V32" s="14"/>
      <c r="W32" s="14"/>
      <c r="X32" s="14"/>
      <c r="Y32" s="14"/>
      <c r="Z32" s="14"/>
      <c r="AA32" s="14"/>
      <c r="AB32" s="14"/>
      <c r="AC32" s="14"/>
      <c r="AD32" s="14"/>
      <c r="AE32" s="14"/>
      <c r="AF32" s="14"/>
      <c r="AG32" s="14"/>
      <c r="AH32" s="14"/>
      <c r="AI32" s="14"/>
      <c r="AJ32" s="14"/>
      <c r="AK32" s="14"/>
      <c r="AL32" s="14"/>
      <c r="AM32" s="14"/>
      <c r="AN32" s="14"/>
      <c r="AO32" s="14"/>
      <c r="AP32" s="14"/>
      <c r="AQ32" s="14"/>
      <c r="AR32" s="14"/>
      <c r="AS32" s="14"/>
      <c r="AT32" s="14"/>
      <c r="AU32" s="14"/>
      <c r="AV32" s="14"/>
      <c r="AW32" s="14"/>
      <c r="AX32" s="14"/>
      <c r="AY32" s="14"/>
      <c r="AZ32" s="14"/>
      <c r="BA32" s="14"/>
      <c r="BB32" s="14"/>
      <c r="BC32" s="14"/>
      <c r="BD32" s="14"/>
      <c r="BE32" s="14"/>
      <c r="BF32" s="14"/>
      <c r="BG32" s="14"/>
      <c r="BH32" s="14"/>
      <c r="BI32" s="14"/>
      <c r="BJ32" s="14"/>
      <c r="BK32" s="14"/>
      <c r="BL32" s="14"/>
      <c r="BM32" s="14"/>
      <c r="BN32" s="14"/>
      <c r="BO32" s="14"/>
      <c r="BP32" s="14"/>
    </row>
    <row r="33" spans="2:68" ht="15.75">
      <c r="B33" s="235" t="s">
        <v>105</v>
      </c>
      <c r="C33" s="248" t="str">
        <f>Input!B37</f>
        <v>No</v>
      </c>
      <c r="D33" s="14"/>
      <c r="E33" s="14"/>
      <c r="F33" s="14"/>
      <c r="G33" s="14"/>
      <c r="H33" s="14"/>
      <c r="I33" s="14"/>
      <c r="J33" s="14"/>
      <c r="K33" s="14"/>
      <c r="L33" s="14"/>
      <c r="M33" s="14"/>
      <c r="N33" s="14"/>
      <c r="O33" s="14"/>
      <c r="P33" s="14"/>
      <c r="Q33" s="14"/>
      <c r="R33" s="14"/>
      <c r="S33" s="14"/>
      <c r="T33" s="237">
        <f t="shared" si="6"/>
        <v>0</v>
      </c>
      <c r="U33" s="14"/>
      <c r="V33" s="14"/>
      <c r="W33" s="14"/>
      <c r="X33" s="14"/>
      <c r="Y33" s="14"/>
      <c r="Z33" s="14"/>
      <c r="AA33" s="14"/>
      <c r="AB33" s="14"/>
      <c r="AC33" s="14"/>
      <c r="AD33" s="14"/>
      <c r="AE33" s="14"/>
      <c r="AF33" s="14"/>
      <c r="AG33" s="14"/>
      <c r="AH33" s="14"/>
      <c r="AI33" s="14"/>
      <c r="AJ33" s="14"/>
      <c r="AK33" s="14"/>
      <c r="AL33" s="14"/>
      <c r="AM33" s="14"/>
      <c r="AN33" s="14"/>
      <c r="AO33" s="14"/>
      <c r="AP33" s="14"/>
      <c r="AQ33" s="14"/>
      <c r="AR33" s="14"/>
      <c r="AS33" s="14"/>
      <c r="AT33" s="14"/>
      <c r="AU33" s="14"/>
      <c r="AV33" s="14"/>
      <c r="AW33" s="14"/>
      <c r="AX33" s="14"/>
      <c r="AY33" s="14"/>
      <c r="AZ33" s="14"/>
      <c r="BA33" s="14"/>
      <c r="BB33" s="14"/>
      <c r="BC33" s="14"/>
      <c r="BD33" s="14"/>
      <c r="BE33" s="14"/>
      <c r="BF33" s="14"/>
      <c r="BG33" s="14"/>
      <c r="BH33" s="14"/>
      <c r="BI33" s="14"/>
      <c r="BJ33" s="14"/>
      <c r="BK33" s="14"/>
      <c r="BL33" s="14"/>
      <c r="BM33" s="14"/>
      <c r="BN33" s="14"/>
      <c r="BO33" s="14"/>
      <c r="BP33" s="14"/>
    </row>
    <row r="34" spans="2:68" ht="15.75">
      <c r="B34" s="235" t="s">
        <v>108</v>
      </c>
      <c r="C34" s="248" t="str">
        <f>Input!B38</f>
        <v>No</v>
      </c>
      <c r="D34" s="14"/>
      <c r="E34" s="14"/>
      <c r="F34" s="14"/>
      <c r="G34" s="14"/>
      <c r="H34" s="14"/>
      <c r="I34" s="14"/>
      <c r="J34" s="14"/>
      <c r="K34" s="14"/>
      <c r="L34" s="14"/>
      <c r="M34" s="14"/>
      <c r="N34" s="14"/>
      <c r="O34" s="14"/>
      <c r="P34" s="14"/>
      <c r="Q34" s="14"/>
      <c r="R34" s="14"/>
      <c r="S34" s="14"/>
      <c r="T34" s="237">
        <f t="shared" si="6"/>
        <v>0</v>
      </c>
      <c r="U34" s="14"/>
      <c r="V34" s="14"/>
      <c r="W34" s="14"/>
      <c r="X34" s="14"/>
      <c r="Y34" s="14"/>
      <c r="Z34" s="14"/>
      <c r="AA34" s="14"/>
      <c r="AB34" s="14"/>
      <c r="AC34" s="14"/>
      <c r="AD34" s="14"/>
      <c r="AE34" s="14"/>
      <c r="AF34" s="14"/>
      <c r="AG34" s="14"/>
      <c r="AH34" s="14"/>
      <c r="AI34" s="14"/>
      <c r="AJ34" s="14"/>
      <c r="AK34" s="14"/>
      <c r="AL34" s="14"/>
      <c r="AM34" s="14"/>
      <c r="AN34" s="14"/>
      <c r="AO34" s="14"/>
      <c r="AP34" s="14"/>
      <c r="AQ34" s="14"/>
      <c r="AR34" s="14"/>
      <c r="AS34" s="14"/>
      <c r="AT34" s="14"/>
      <c r="AU34" s="14"/>
      <c r="AV34" s="14"/>
      <c r="AW34" s="14"/>
      <c r="AX34" s="14"/>
      <c r="AY34" s="14"/>
      <c r="AZ34" s="14"/>
      <c r="BA34" s="14"/>
      <c r="BB34" s="14"/>
      <c r="BC34" s="14"/>
      <c r="BD34" s="14"/>
      <c r="BE34" s="14"/>
      <c r="BF34" s="14"/>
      <c r="BG34" s="14"/>
      <c r="BH34" s="14"/>
      <c r="BI34" s="14"/>
      <c r="BJ34" s="14"/>
      <c r="BK34" s="14"/>
      <c r="BL34" s="14"/>
      <c r="BM34" s="14"/>
      <c r="BN34" s="14"/>
      <c r="BO34" s="14"/>
      <c r="BP34" s="14"/>
    </row>
    <row r="35" spans="2:68" ht="18.75">
      <c r="B35" s="595" t="str">
        <f>Input!A39</f>
        <v/>
      </c>
      <c r="C35" s="596"/>
      <c r="D35" s="14"/>
      <c r="E35" s="14"/>
      <c r="F35" s="14"/>
      <c r="G35" s="14"/>
      <c r="H35" s="14"/>
      <c r="I35" s="14"/>
      <c r="J35" s="14"/>
      <c r="K35" s="14"/>
      <c r="L35" s="14"/>
      <c r="M35" s="14"/>
      <c r="N35" s="14"/>
      <c r="O35" s="14"/>
      <c r="P35" s="14"/>
      <c r="Q35" s="14"/>
      <c r="R35" s="14"/>
      <c r="S35" s="14"/>
      <c r="T35" s="237">
        <f t="shared" ref="T35:T41" si="7">S35-R35</f>
        <v>0</v>
      </c>
      <c r="U35" s="14"/>
      <c r="V35" s="14"/>
      <c r="W35" s="14"/>
      <c r="X35" s="14"/>
      <c r="Y35" s="14"/>
      <c r="Z35" s="14"/>
      <c r="AA35" s="14"/>
      <c r="AB35" s="14"/>
      <c r="AC35" s="14"/>
      <c r="AD35" s="14"/>
      <c r="AE35" s="14"/>
      <c r="AF35" s="14"/>
      <c r="AG35" s="14"/>
      <c r="AH35" s="14"/>
      <c r="AI35" s="14"/>
      <c r="AJ35" s="14"/>
      <c r="AK35" s="14"/>
      <c r="AL35" s="14"/>
      <c r="AM35" s="14"/>
      <c r="AN35" s="14"/>
      <c r="AO35" s="14"/>
      <c r="AP35" s="14"/>
      <c r="AQ35" s="14"/>
      <c r="AR35" s="14"/>
      <c r="AS35" s="14"/>
      <c r="AT35" s="14"/>
      <c r="AU35" s="14"/>
      <c r="AV35" s="14"/>
      <c r="AW35" s="14"/>
      <c r="AX35" s="14"/>
      <c r="AY35" s="14"/>
      <c r="AZ35" s="14"/>
      <c r="BA35" s="14"/>
      <c r="BB35" s="14"/>
      <c r="BC35" s="14"/>
      <c r="BD35" s="14"/>
      <c r="BE35" s="14"/>
      <c r="BF35" s="14"/>
      <c r="BG35" s="14"/>
      <c r="BH35" s="14"/>
      <c r="BI35" s="14"/>
      <c r="BJ35" s="14"/>
      <c r="BK35" s="14"/>
      <c r="BL35" s="14"/>
      <c r="BM35" s="14"/>
      <c r="BN35" s="14"/>
      <c r="BO35" s="14"/>
      <c r="BP35" s="14"/>
    </row>
    <row r="36" spans="2:68" ht="15.75">
      <c r="B36" s="220" t="str">
        <f>Lists!S46</f>
        <v/>
      </c>
      <c r="C36" s="217" t="str">
        <f>Lists!T46</f>
        <v/>
      </c>
      <c r="D36" s="14"/>
      <c r="E36" s="14"/>
      <c r="F36" s="14"/>
      <c r="G36" s="14"/>
      <c r="H36" s="14"/>
      <c r="I36" s="14"/>
      <c r="J36" s="14"/>
      <c r="K36" s="14"/>
      <c r="L36" s="14"/>
      <c r="M36" s="14"/>
      <c r="N36" s="14"/>
      <c r="O36" s="14"/>
      <c r="P36" s="14"/>
      <c r="Q36" s="14"/>
      <c r="R36" s="14"/>
      <c r="S36" s="14"/>
      <c r="T36" s="237">
        <f t="shared" si="7"/>
        <v>0</v>
      </c>
      <c r="U36" s="14"/>
      <c r="V36" s="14"/>
      <c r="W36" s="14"/>
      <c r="X36" s="14"/>
      <c r="Y36" s="14"/>
      <c r="Z36" s="14"/>
      <c r="AA36" s="14"/>
      <c r="AB36" s="14"/>
      <c r="AC36" s="14"/>
      <c r="AD36" s="14"/>
      <c r="AE36" s="14"/>
      <c r="AF36" s="14"/>
      <c r="AG36" s="14"/>
      <c r="AH36" s="14"/>
      <c r="AI36" s="14"/>
      <c r="AJ36" s="14"/>
      <c r="AK36" s="14"/>
      <c r="AL36" s="14"/>
      <c r="AM36" s="14"/>
      <c r="AN36" s="14"/>
      <c r="AO36" s="14"/>
      <c r="AP36" s="14"/>
      <c r="AQ36" s="14"/>
      <c r="AR36" s="14"/>
      <c r="AS36" s="14"/>
      <c r="AT36" s="14"/>
      <c r="AU36" s="14"/>
      <c r="AV36" s="14"/>
      <c r="AW36" s="14"/>
      <c r="AX36" s="14"/>
      <c r="AY36" s="14"/>
      <c r="AZ36" s="14"/>
      <c r="BA36" s="14"/>
      <c r="BB36" s="14"/>
      <c r="BC36" s="14"/>
      <c r="BD36" s="14"/>
      <c r="BE36" s="14"/>
      <c r="BF36" s="14"/>
      <c r="BG36" s="14"/>
      <c r="BH36" s="14"/>
      <c r="BI36" s="14"/>
      <c r="BJ36" s="14"/>
      <c r="BK36" s="14"/>
      <c r="BL36" s="14"/>
      <c r="BM36" s="14"/>
      <c r="BN36" s="14"/>
      <c r="BO36" s="14"/>
      <c r="BP36" s="14"/>
    </row>
    <row r="37" spans="2:68" ht="15.75">
      <c r="B37" s="220" t="str">
        <f>Lists!S47</f>
        <v/>
      </c>
      <c r="C37" s="217" t="str">
        <f>Lists!T47</f>
        <v/>
      </c>
      <c r="D37" s="14"/>
      <c r="E37" s="14"/>
      <c r="F37" s="14"/>
      <c r="G37" s="14"/>
      <c r="H37" s="14"/>
      <c r="I37" s="14"/>
      <c r="J37" s="14"/>
      <c r="K37" s="14"/>
      <c r="L37" s="14"/>
      <c r="M37" s="14"/>
      <c r="N37" s="14"/>
      <c r="O37" s="14"/>
      <c r="P37" s="14"/>
      <c r="Q37" s="14"/>
      <c r="R37" s="14"/>
      <c r="S37" s="14"/>
      <c r="T37" s="237">
        <f t="shared" si="7"/>
        <v>0</v>
      </c>
      <c r="U37" s="14"/>
      <c r="V37" s="14"/>
      <c r="W37" s="14"/>
      <c r="X37" s="14"/>
      <c r="Y37" s="14"/>
      <c r="Z37" s="14"/>
      <c r="AA37" s="14"/>
      <c r="AB37" s="14"/>
      <c r="AC37" s="14"/>
      <c r="AD37" s="14"/>
      <c r="AE37" s="14"/>
      <c r="AF37" s="14"/>
      <c r="AG37" s="14"/>
      <c r="AH37" s="14"/>
      <c r="AI37" s="14"/>
      <c r="AJ37" s="14"/>
      <c r="AK37" s="14"/>
      <c r="AL37" s="14"/>
      <c r="AM37" s="14"/>
      <c r="AN37" s="83"/>
      <c r="AO37" s="14"/>
      <c r="AP37" s="14"/>
      <c r="AQ37" s="14"/>
      <c r="AR37" s="14"/>
      <c r="AS37" s="14"/>
      <c r="AT37" s="14"/>
      <c r="AU37" s="14"/>
      <c r="AV37" s="14"/>
      <c r="AW37" s="14"/>
      <c r="AX37" s="14"/>
      <c r="AY37" s="14"/>
      <c r="AZ37" s="14"/>
      <c r="BA37" s="14"/>
      <c r="BB37" s="14"/>
      <c r="BC37" s="14"/>
      <c r="BD37" s="14"/>
      <c r="BE37" s="14"/>
      <c r="BF37" s="14"/>
      <c r="BG37" s="14"/>
      <c r="BH37" s="14"/>
      <c r="BI37" s="14"/>
      <c r="BJ37" s="14"/>
      <c r="BK37" s="14"/>
      <c r="BL37" s="14"/>
      <c r="BM37" s="14"/>
      <c r="BN37" s="14"/>
      <c r="BO37" s="14"/>
      <c r="BP37" s="14"/>
    </row>
    <row r="38" spans="2:68" ht="15.75">
      <c r="B38" s="220" t="str">
        <f>Lists!S48</f>
        <v/>
      </c>
      <c r="C38" s="217" t="str">
        <f>Lists!T48</f>
        <v/>
      </c>
      <c r="D38" s="14"/>
      <c r="E38" s="14"/>
      <c r="F38" s="14"/>
      <c r="G38" s="14"/>
      <c r="H38" s="14"/>
      <c r="I38" s="14"/>
      <c r="J38" s="14"/>
      <c r="K38" s="14"/>
      <c r="L38" s="14"/>
      <c r="M38" s="14"/>
      <c r="N38" s="14"/>
      <c r="O38" s="14"/>
      <c r="P38" s="14"/>
      <c r="Q38" s="14"/>
      <c r="R38" s="14"/>
      <c r="S38" s="14"/>
      <c r="T38" s="237">
        <f t="shared" si="7"/>
        <v>0</v>
      </c>
      <c r="U38" s="14"/>
      <c r="V38" s="14"/>
      <c r="W38" s="14"/>
      <c r="X38" s="14"/>
      <c r="Y38" s="14"/>
      <c r="Z38" s="14"/>
      <c r="AA38" s="14"/>
      <c r="AB38" s="14"/>
      <c r="AC38" s="14"/>
      <c r="AD38" s="14"/>
      <c r="AE38" s="14"/>
      <c r="AF38" s="14"/>
      <c r="AG38" s="14"/>
      <c r="AH38" s="14"/>
      <c r="AI38" s="14"/>
      <c r="AJ38" s="14"/>
      <c r="AK38" s="14"/>
      <c r="AL38" s="14"/>
      <c r="AM38" s="14"/>
      <c r="AN38" s="83"/>
      <c r="AO38" s="14"/>
      <c r="AP38" s="14"/>
      <c r="AQ38" s="14"/>
      <c r="AR38" s="14"/>
      <c r="AS38" s="14"/>
      <c r="AT38" s="14"/>
      <c r="AU38" s="14"/>
      <c r="AV38" s="14"/>
      <c r="AW38" s="14"/>
      <c r="AX38" s="14"/>
      <c r="AY38" s="14"/>
      <c r="AZ38" s="14"/>
      <c r="BA38" s="14"/>
      <c r="BB38" s="14"/>
      <c r="BC38" s="14"/>
      <c r="BD38" s="14"/>
      <c r="BE38" s="14"/>
      <c r="BF38" s="14"/>
      <c r="BG38" s="14"/>
      <c r="BH38" s="14"/>
      <c r="BI38" s="14"/>
      <c r="BJ38" s="14"/>
      <c r="BK38" s="14"/>
      <c r="BL38" s="14"/>
      <c r="BM38" s="14"/>
      <c r="BN38" s="14"/>
      <c r="BO38" s="14"/>
      <c r="BP38" s="14"/>
    </row>
    <row r="39" spans="2:68" ht="15.75">
      <c r="B39" s="220" t="str">
        <f>Lists!S49</f>
        <v/>
      </c>
      <c r="C39" s="217" t="str">
        <f>Lists!T49</f>
        <v/>
      </c>
      <c r="D39" s="14"/>
      <c r="E39" s="14"/>
      <c r="F39" s="14"/>
      <c r="G39" s="14"/>
      <c r="H39" s="14"/>
      <c r="I39" s="14"/>
      <c r="J39" s="14"/>
      <c r="K39" s="14"/>
      <c r="L39" s="14"/>
      <c r="M39" s="14"/>
      <c r="N39" s="14"/>
      <c r="O39" s="14"/>
      <c r="P39" s="14"/>
      <c r="Q39" s="14"/>
      <c r="R39" s="14"/>
      <c r="S39" s="14"/>
      <c r="T39" s="237">
        <f t="shared" si="7"/>
        <v>0</v>
      </c>
      <c r="U39" s="14"/>
      <c r="V39" s="14"/>
      <c r="W39" s="14"/>
      <c r="X39" s="14"/>
      <c r="Y39" s="14"/>
      <c r="Z39" s="14"/>
      <c r="AA39" s="14"/>
      <c r="AB39" s="14"/>
      <c r="AC39" s="14"/>
      <c r="AD39" s="14"/>
      <c r="AE39" s="14"/>
      <c r="AF39" s="14"/>
      <c r="AG39" s="14"/>
      <c r="AH39" s="14"/>
      <c r="AI39" s="14"/>
      <c r="AJ39" s="14"/>
      <c r="AK39" s="14"/>
      <c r="AL39" s="14"/>
      <c r="AM39" s="14"/>
      <c r="AN39" s="83"/>
      <c r="AO39" s="14"/>
      <c r="AP39" s="14"/>
      <c r="AQ39" s="14"/>
      <c r="AR39" s="14"/>
      <c r="AS39" s="14"/>
      <c r="AT39" s="14"/>
      <c r="AU39" s="14"/>
      <c r="AV39" s="14"/>
      <c r="AW39" s="14"/>
      <c r="AX39" s="14"/>
      <c r="AY39" s="14"/>
      <c r="AZ39" s="14"/>
      <c r="BA39" s="14"/>
      <c r="BB39" s="14"/>
      <c r="BC39" s="14"/>
      <c r="BD39" s="14"/>
      <c r="BE39" s="14"/>
      <c r="BF39" s="14"/>
      <c r="BG39" s="14"/>
      <c r="BH39" s="14"/>
      <c r="BI39" s="14"/>
      <c r="BJ39" s="14"/>
      <c r="BK39" s="14"/>
      <c r="BL39" s="14"/>
      <c r="BM39" s="14"/>
      <c r="BN39" s="14"/>
      <c r="BO39" s="14"/>
      <c r="BP39" s="14"/>
    </row>
    <row r="40" spans="2:68" ht="15.75">
      <c r="B40" s="220" t="str">
        <f>Lists!S50</f>
        <v/>
      </c>
      <c r="C40" s="217" t="str">
        <f>Lists!T50</f>
        <v/>
      </c>
      <c r="D40" s="14"/>
      <c r="E40" s="55"/>
      <c r="F40" s="14"/>
      <c r="G40" s="14"/>
      <c r="H40" s="14"/>
      <c r="I40" s="14"/>
      <c r="J40" s="14"/>
      <c r="K40" s="14"/>
      <c r="L40" s="14"/>
      <c r="M40" s="14"/>
      <c r="N40" s="14"/>
      <c r="O40" s="14"/>
      <c r="P40" s="14"/>
      <c r="Q40" s="14"/>
      <c r="R40" s="14"/>
      <c r="S40" s="14"/>
      <c r="T40" s="237">
        <f t="shared" si="7"/>
        <v>0</v>
      </c>
      <c r="U40" s="14"/>
      <c r="V40" s="14"/>
      <c r="W40" s="14"/>
      <c r="X40" s="14"/>
      <c r="Y40" s="14"/>
      <c r="Z40" s="14"/>
      <c r="AA40" s="14"/>
      <c r="AB40" s="14"/>
      <c r="AC40" s="14"/>
      <c r="AD40" s="14"/>
      <c r="AE40" s="14"/>
      <c r="AF40" s="14"/>
      <c r="AG40" s="14"/>
      <c r="AH40" s="14"/>
      <c r="AI40" s="14"/>
      <c r="AJ40" s="14"/>
      <c r="AK40" s="14"/>
      <c r="AL40" s="14"/>
      <c r="AM40" s="14"/>
      <c r="AN40" s="83"/>
      <c r="AO40" s="14"/>
      <c r="AP40" s="14"/>
      <c r="AQ40" s="14"/>
      <c r="AR40" s="14"/>
      <c r="AS40" s="14"/>
      <c r="AT40" s="14"/>
      <c r="AU40" s="14"/>
      <c r="AV40" s="14"/>
      <c r="AW40" s="14"/>
      <c r="AX40" s="14"/>
      <c r="AY40" s="14"/>
      <c r="AZ40" s="14"/>
      <c r="BA40" s="14"/>
      <c r="BB40" s="14"/>
      <c r="BC40" s="14"/>
      <c r="BD40" s="14"/>
      <c r="BE40" s="14"/>
      <c r="BF40" s="14"/>
      <c r="BG40" s="14"/>
      <c r="BH40" s="14"/>
      <c r="BI40" s="14"/>
      <c r="BJ40" s="14"/>
      <c r="BK40" s="14"/>
      <c r="BL40" s="14"/>
      <c r="BM40" s="14"/>
      <c r="BN40" s="14"/>
      <c r="BO40" s="14"/>
      <c r="BP40" s="14"/>
    </row>
    <row r="41" spans="2:68" ht="15.75">
      <c r="B41" s="220" t="str">
        <f>Lists!S51</f>
        <v/>
      </c>
      <c r="C41" s="217" t="str">
        <f>Lists!T51</f>
        <v/>
      </c>
      <c r="D41" s="14"/>
      <c r="E41" s="14"/>
      <c r="F41" s="55"/>
      <c r="G41" s="55"/>
      <c r="H41" s="14"/>
      <c r="I41" s="14"/>
      <c r="J41" s="14"/>
      <c r="K41" s="14"/>
      <c r="L41" s="14"/>
      <c r="M41" s="14"/>
      <c r="N41" s="14"/>
      <c r="O41" s="14"/>
      <c r="P41" s="14"/>
      <c r="Q41" s="14"/>
      <c r="R41" s="14"/>
      <c r="S41" s="14"/>
      <c r="T41" s="237">
        <f t="shared" si="7"/>
        <v>0</v>
      </c>
      <c r="U41" s="14"/>
      <c r="V41" s="14"/>
      <c r="W41" s="14"/>
      <c r="X41" s="14"/>
      <c r="Y41" s="14"/>
      <c r="Z41" s="14"/>
      <c r="AA41" s="14"/>
      <c r="AB41" s="14"/>
      <c r="AC41" s="14"/>
      <c r="AD41" s="14"/>
      <c r="AE41" s="14"/>
      <c r="AF41" s="14"/>
      <c r="AG41" s="14"/>
      <c r="AH41" s="14"/>
      <c r="AI41" s="14"/>
      <c r="AJ41" s="14"/>
      <c r="AK41" s="14"/>
      <c r="AL41" s="14"/>
      <c r="AM41" s="14"/>
      <c r="AN41" s="83"/>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row>
    <row r="42" spans="2:68">
      <c r="B42" s="220" t="str">
        <f>Lists!S52</f>
        <v/>
      </c>
      <c r="C42" s="217" t="str">
        <f>Lists!T52</f>
        <v/>
      </c>
      <c r="D42" s="14"/>
      <c r="E42" s="14"/>
      <c r="F42" s="55"/>
      <c r="G42" s="55"/>
      <c r="H42" s="14"/>
      <c r="I42" s="14"/>
      <c r="J42" s="14"/>
      <c r="K42" s="14"/>
      <c r="L42" s="14"/>
      <c r="M42" s="14"/>
      <c r="N42" s="14"/>
      <c r="O42" s="14"/>
      <c r="P42" s="14"/>
      <c r="Q42" s="14"/>
      <c r="R42" s="14"/>
      <c r="S42" s="14"/>
      <c r="T42" s="14"/>
      <c r="U42" s="14"/>
      <c r="V42" s="14"/>
      <c r="W42" s="14"/>
      <c r="X42" s="14"/>
      <c r="Y42" s="14"/>
      <c r="Z42" s="14"/>
      <c r="AA42" s="14"/>
      <c r="AB42" s="14"/>
      <c r="AC42" s="14"/>
      <c r="AD42" s="14"/>
      <c r="AE42" s="14"/>
      <c r="AF42" s="14"/>
      <c r="AG42" s="14"/>
      <c r="AH42" s="14"/>
      <c r="AI42" s="14"/>
      <c r="AJ42" s="14"/>
      <c r="AK42" s="14"/>
      <c r="AL42" s="14"/>
      <c r="AM42" s="14"/>
      <c r="AN42" s="14"/>
      <c r="AO42" s="14"/>
      <c r="AP42" s="14"/>
      <c r="AQ42" s="14"/>
      <c r="AR42" s="14"/>
      <c r="AS42" s="14"/>
      <c r="AT42" s="14"/>
      <c r="AU42" s="14"/>
      <c r="AV42" s="14"/>
      <c r="AW42" s="14"/>
      <c r="AX42" s="14"/>
      <c r="AY42" s="14"/>
      <c r="AZ42" s="14"/>
      <c r="BA42" s="14"/>
      <c r="BB42" s="14"/>
      <c r="BC42" s="14"/>
      <c r="BD42" s="14"/>
      <c r="BE42" s="14"/>
      <c r="BF42" s="14"/>
      <c r="BG42" s="14"/>
      <c r="BH42" s="14"/>
      <c r="BI42" s="14"/>
      <c r="BJ42" s="14"/>
      <c r="BK42" s="14"/>
      <c r="BL42" s="14"/>
      <c r="BM42" s="14"/>
      <c r="BN42" s="14"/>
      <c r="BO42" s="14"/>
      <c r="BP42" s="14"/>
    </row>
    <row r="43" spans="2:68">
      <c r="B43" s="14"/>
      <c r="C43" s="14"/>
      <c r="D43" s="14"/>
      <c r="E43" s="14"/>
      <c r="F43" s="55"/>
      <c r="G43" s="55"/>
      <c r="H43" s="14"/>
      <c r="I43" s="14"/>
      <c r="J43" s="14"/>
      <c r="K43" s="14"/>
      <c r="L43" s="14"/>
      <c r="M43" s="14"/>
      <c r="N43" s="14"/>
      <c r="O43" s="14"/>
      <c r="P43" s="14"/>
      <c r="Q43" s="14"/>
      <c r="R43" s="14"/>
      <c r="S43" s="14"/>
      <c r="T43" s="14"/>
      <c r="U43" s="14"/>
      <c r="V43" s="14"/>
      <c r="W43" s="14"/>
      <c r="X43" s="14"/>
      <c r="Y43" s="14"/>
      <c r="Z43" s="14"/>
      <c r="AA43" s="14"/>
      <c r="AB43" s="14"/>
      <c r="AC43" s="14"/>
      <c r="AD43" s="14"/>
      <c r="AE43" s="14"/>
      <c r="AF43" s="14"/>
      <c r="AG43" s="14"/>
      <c r="AH43" s="14"/>
      <c r="AI43" s="14"/>
      <c r="AJ43" s="14"/>
      <c r="AK43" s="14"/>
      <c r="AL43" s="14"/>
      <c r="AM43" s="14"/>
      <c r="AN43" s="14"/>
      <c r="AO43" s="14"/>
      <c r="AP43" s="14"/>
      <c r="AQ43" s="14"/>
      <c r="AR43" s="14"/>
      <c r="AS43" s="14"/>
      <c r="AT43" s="14"/>
      <c r="AU43" s="14"/>
      <c r="AV43" s="14"/>
      <c r="AW43" s="14"/>
      <c r="AX43" s="14"/>
      <c r="AY43" s="14"/>
      <c r="AZ43" s="14"/>
      <c r="BA43" s="14"/>
      <c r="BB43" s="14"/>
      <c r="BC43" s="14"/>
      <c r="BD43" s="14"/>
      <c r="BE43" s="14"/>
      <c r="BF43" s="14"/>
      <c r="BG43" s="14"/>
      <c r="BH43" s="14"/>
      <c r="BI43" s="14"/>
      <c r="BJ43" s="14"/>
      <c r="BK43" s="14"/>
      <c r="BL43" s="14"/>
      <c r="BM43" s="14"/>
      <c r="BN43" s="14"/>
      <c r="BO43" s="14"/>
      <c r="BP43" s="14"/>
    </row>
    <row r="44" spans="2:68">
      <c r="B44" s="14"/>
      <c r="C44" s="14"/>
      <c r="D44" s="14"/>
      <c r="E44" s="14"/>
      <c r="F44" s="55"/>
      <c r="G44" s="55"/>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row>
    <row r="45" spans="2:68">
      <c r="B45" s="14"/>
      <c r="C45" s="14"/>
      <c r="D45" s="14"/>
      <c r="E45" s="14"/>
      <c r="F45" s="55"/>
      <c r="G45" s="55"/>
      <c r="H45" s="14"/>
      <c r="I45" s="14"/>
      <c r="J45" s="14"/>
      <c r="K45" s="14"/>
      <c r="L45" s="14"/>
      <c r="M45" s="14"/>
      <c r="N45" s="14"/>
      <c r="O45" s="14"/>
      <c r="P45" s="14"/>
      <c r="Q45" s="14"/>
      <c r="R45" s="14"/>
      <c r="S45" s="14"/>
      <c r="T45" s="14"/>
      <c r="U45" s="14"/>
      <c r="V45" s="14"/>
      <c r="W45" s="14"/>
      <c r="X45" s="14"/>
      <c r="Y45" s="14"/>
      <c r="Z45" s="14"/>
      <c r="AA45" s="14"/>
      <c r="AB45" s="14"/>
      <c r="AC45" s="14"/>
      <c r="AD45" s="14"/>
      <c r="AE45" s="14"/>
      <c r="AF45" s="14"/>
      <c r="AG45" s="14"/>
      <c r="AH45" s="14"/>
      <c r="AI45" s="14"/>
      <c r="AJ45" s="14"/>
      <c r="AK45" s="14"/>
      <c r="AL45" s="14"/>
      <c r="AM45" s="14"/>
      <c r="AN45" s="14"/>
      <c r="AO45" s="14"/>
      <c r="AP45" s="14"/>
      <c r="AQ45" s="14"/>
      <c r="AR45" s="14"/>
      <c r="AS45" s="14"/>
      <c r="AT45" s="14"/>
      <c r="AU45" s="14"/>
      <c r="AV45" s="14"/>
      <c r="AW45" s="14"/>
      <c r="AX45" s="14"/>
      <c r="AY45" s="14"/>
      <c r="AZ45" s="14"/>
      <c r="BA45" s="14"/>
      <c r="BB45" s="14"/>
      <c r="BC45" s="14"/>
      <c r="BD45" s="14"/>
      <c r="BE45" s="14"/>
      <c r="BF45" s="14"/>
      <c r="BG45" s="14"/>
      <c r="BH45" s="14"/>
      <c r="BI45" s="14"/>
      <c r="BJ45" s="14"/>
      <c r="BK45" s="14"/>
      <c r="BL45" s="14"/>
      <c r="BM45" s="14"/>
      <c r="BN45" s="14"/>
      <c r="BO45" s="14"/>
      <c r="BP45" s="14"/>
    </row>
    <row r="46" spans="2:68">
      <c r="B46" s="14"/>
      <c r="C46" s="14"/>
      <c r="D46" s="14"/>
      <c r="E46" s="14"/>
      <c r="F46" s="55"/>
      <c r="G46" s="55"/>
      <c r="H46" s="14"/>
      <c r="I46" s="14"/>
      <c r="J46" s="14"/>
      <c r="K46" s="14"/>
      <c r="L46" s="14"/>
      <c r="M46" s="14"/>
      <c r="N46" s="14"/>
      <c r="O46" s="14"/>
      <c r="P46" s="14"/>
      <c r="Q46" s="14"/>
      <c r="R46" s="14"/>
      <c r="S46" s="14"/>
      <c r="T46" s="14"/>
      <c r="U46" s="14"/>
      <c r="V46" s="14"/>
      <c r="W46" s="14"/>
      <c r="X46" s="14"/>
      <c r="Y46" s="14"/>
      <c r="Z46" s="14"/>
      <c r="AA46" s="14"/>
      <c r="AB46" s="14"/>
      <c r="AC46" s="14"/>
      <c r="AD46" s="14"/>
      <c r="AE46" s="14"/>
      <c r="AF46" s="14"/>
      <c r="AG46" s="14"/>
      <c r="AH46" s="14"/>
      <c r="AI46" s="14"/>
      <c r="AJ46" s="14"/>
      <c r="AK46" s="14"/>
      <c r="AL46" s="14"/>
      <c r="AM46" s="14"/>
      <c r="AN46" s="14"/>
      <c r="AO46" s="14"/>
      <c r="AP46" s="14"/>
      <c r="AQ46" s="14"/>
      <c r="AR46" s="14"/>
      <c r="AS46" s="14"/>
      <c r="AT46" s="14"/>
      <c r="AU46" s="14"/>
      <c r="AV46" s="14"/>
      <c r="AW46" s="14"/>
      <c r="AX46" s="14"/>
      <c r="AY46" s="14"/>
      <c r="AZ46" s="14"/>
      <c r="BA46" s="14"/>
      <c r="BB46" s="14"/>
      <c r="BC46" s="14"/>
      <c r="BD46" s="14"/>
      <c r="BE46" s="14"/>
      <c r="BF46" s="14"/>
      <c r="BG46" s="14"/>
      <c r="BH46" s="14"/>
      <c r="BI46" s="14"/>
      <c r="BJ46" s="14"/>
      <c r="BK46" s="14"/>
      <c r="BL46" s="14"/>
      <c r="BM46" s="14"/>
      <c r="BN46" s="14"/>
      <c r="BO46" s="14"/>
      <c r="BP46" s="14"/>
    </row>
    <row r="47" spans="2:68">
      <c r="B47" s="14"/>
      <c r="C47" s="14"/>
      <c r="D47" s="14"/>
      <c r="E47" s="14"/>
      <c r="F47" s="55"/>
      <c r="G47" s="55"/>
      <c r="H47" s="14"/>
      <c r="I47" s="261"/>
      <c r="J47" s="261"/>
      <c r="K47" s="261"/>
      <c r="L47" s="14"/>
      <c r="M47" s="14"/>
      <c r="N47" s="14"/>
      <c r="O47" s="14"/>
      <c r="P47" s="14"/>
      <c r="Q47" s="14"/>
      <c r="R47" s="14"/>
      <c r="S47" s="14"/>
      <c r="T47" s="14"/>
      <c r="U47" s="14"/>
      <c r="V47" s="14"/>
      <c r="W47" s="14"/>
      <c r="X47" s="14"/>
      <c r="Y47" s="14"/>
      <c r="Z47" s="14"/>
      <c r="AA47" s="14"/>
      <c r="AB47" s="14"/>
      <c r="AC47" s="14"/>
      <c r="AD47" s="14"/>
      <c r="AE47" s="14"/>
      <c r="AF47" s="14"/>
      <c r="AG47" s="14"/>
      <c r="AH47" s="14"/>
      <c r="AI47" s="14"/>
      <c r="AJ47" s="14"/>
      <c r="AK47" s="14"/>
      <c r="AL47" s="14"/>
      <c r="AM47" s="14"/>
      <c r="AN47" s="14"/>
      <c r="AO47" s="14"/>
      <c r="AP47" s="14"/>
      <c r="AQ47" s="14"/>
      <c r="AR47" s="14"/>
      <c r="AS47" s="14"/>
      <c r="AT47" s="14"/>
      <c r="AU47" s="14"/>
      <c r="AV47" s="14"/>
      <c r="AW47" s="14"/>
      <c r="AX47" s="14"/>
      <c r="AY47" s="14"/>
      <c r="AZ47" s="14"/>
      <c r="BA47" s="14"/>
      <c r="BB47" s="14"/>
      <c r="BC47" s="14"/>
      <c r="BD47" s="14"/>
      <c r="BE47" s="14"/>
      <c r="BF47" s="14"/>
      <c r="BG47" s="14"/>
      <c r="BH47" s="14"/>
      <c r="BI47" s="14"/>
      <c r="BJ47" s="14"/>
      <c r="BK47" s="14"/>
      <c r="BL47" s="14"/>
      <c r="BM47" s="14"/>
      <c r="BN47" s="14"/>
      <c r="BO47" s="14"/>
      <c r="BP47" s="14"/>
    </row>
    <row r="48" spans="2:68">
      <c r="B48" s="14"/>
      <c r="C48" s="14"/>
      <c r="D48" s="14"/>
      <c r="E48" s="14"/>
      <c r="F48" s="55"/>
      <c r="G48" s="55"/>
      <c r="H48" s="14"/>
      <c r="I48" s="261"/>
      <c r="J48" s="261"/>
      <c r="K48" s="261"/>
      <c r="L48" s="14"/>
      <c r="M48" s="14"/>
      <c r="N48" s="14"/>
      <c r="O48" s="14"/>
      <c r="P48" s="14"/>
      <c r="Q48" s="14"/>
      <c r="R48" s="14"/>
      <c r="S48" s="14"/>
      <c r="T48" s="14"/>
      <c r="U48" s="14"/>
      <c r="V48" s="14"/>
      <c r="W48" s="14"/>
      <c r="X48" s="14"/>
      <c r="Y48" s="14"/>
      <c r="Z48" s="14"/>
      <c r="AA48" s="14"/>
      <c r="AB48" s="14"/>
      <c r="AC48" s="14"/>
      <c r="AD48" s="14"/>
      <c r="AE48" s="14"/>
      <c r="AF48" s="14"/>
      <c r="AG48" s="14"/>
      <c r="AH48" s="14"/>
      <c r="AI48" s="14"/>
      <c r="AJ48" s="14"/>
      <c r="AK48" s="14"/>
      <c r="AL48" s="14"/>
      <c r="AM48" s="14"/>
      <c r="AN48" s="14"/>
      <c r="AO48" s="14"/>
      <c r="AP48" s="14"/>
      <c r="AQ48" s="14"/>
      <c r="AR48" s="14"/>
      <c r="AS48" s="14"/>
      <c r="AT48" s="14"/>
      <c r="AU48" s="14"/>
      <c r="AV48" s="14"/>
      <c r="AW48" s="14"/>
      <c r="AX48" s="14"/>
      <c r="AY48" s="14"/>
      <c r="AZ48" s="14"/>
      <c r="BA48" s="14"/>
      <c r="BB48" s="14"/>
      <c r="BC48" s="14"/>
      <c r="BD48" s="14"/>
      <c r="BE48" s="14"/>
      <c r="BF48" s="14"/>
      <c r="BG48" s="14"/>
      <c r="BH48" s="14"/>
      <c r="BI48" s="14"/>
      <c r="BJ48" s="14"/>
      <c r="BK48" s="14"/>
      <c r="BL48" s="14"/>
      <c r="BM48" s="14"/>
      <c r="BN48" s="14"/>
      <c r="BO48" s="14"/>
      <c r="BP48" s="14"/>
    </row>
    <row r="49" spans="2:68">
      <c r="B49" s="14"/>
      <c r="C49" s="14"/>
      <c r="D49" s="14"/>
      <c r="E49" s="14"/>
      <c r="F49" s="55"/>
      <c r="G49" s="55"/>
      <c r="H49" s="14"/>
      <c r="I49" s="261"/>
      <c r="J49" s="261"/>
      <c r="K49" s="261"/>
      <c r="L49" s="14"/>
      <c r="M49" s="14"/>
      <c r="N49" s="14"/>
      <c r="O49" s="14"/>
      <c r="P49" s="14"/>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row>
    <row r="50" spans="2:68">
      <c r="B50" s="14"/>
      <c r="C50" s="14"/>
      <c r="D50" s="15"/>
      <c r="E50" s="14"/>
      <c r="F50" s="55"/>
      <c r="G50" s="55"/>
      <c r="H50" s="14"/>
      <c r="I50" s="261"/>
      <c r="J50" s="261"/>
      <c r="K50" s="261"/>
      <c r="L50" s="14"/>
      <c r="M50" s="14"/>
      <c r="N50" s="14"/>
      <c r="O50" s="14"/>
      <c r="P50" s="14"/>
      <c r="Q50" s="14"/>
      <c r="R50" s="14"/>
      <c r="S50" s="14"/>
      <c r="T50" s="14"/>
      <c r="U50" s="14"/>
      <c r="V50" s="14"/>
      <c r="W50" s="14"/>
      <c r="X50" s="14"/>
      <c r="Y50" s="14"/>
      <c r="Z50" s="14"/>
      <c r="AA50" s="14"/>
      <c r="AB50" s="14"/>
      <c r="AC50" s="14"/>
      <c r="AD50" s="14"/>
      <c r="AE50" s="14"/>
      <c r="AF50" s="14"/>
      <c r="AG50" s="14"/>
      <c r="AH50" s="14"/>
      <c r="AI50" s="14"/>
      <c r="AJ50" s="14"/>
      <c r="AK50" s="14"/>
      <c r="AL50" s="14"/>
      <c r="AM50" s="14"/>
      <c r="AN50" s="14"/>
      <c r="AO50" s="14"/>
      <c r="AP50" s="14"/>
      <c r="AQ50" s="14"/>
      <c r="AR50" s="14"/>
      <c r="AS50" s="14"/>
      <c r="AT50" s="14"/>
      <c r="AU50" s="14"/>
      <c r="AV50" s="14"/>
      <c r="AW50" s="14"/>
      <c r="AX50" s="14"/>
      <c r="AY50" s="14"/>
      <c r="AZ50" s="14"/>
      <c r="BA50" s="14"/>
      <c r="BB50" s="14"/>
      <c r="BC50" s="14"/>
      <c r="BD50" s="14"/>
      <c r="BE50" s="14"/>
      <c r="BF50" s="14"/>
      <c r="BG50" s="14"/>
      <c r="BH50" s="14"/>
      <c r="BI50" s="14"/>
      <c r="BJ50" s="14"/>
      <c r="BK50" s="14"/>
      <c r="BL50" s="14"/>
      <c r="BM50" s="14"/>
      <c r="BN50" s="14"/>
      <c r="BO50" s="14"/>
      <c r="BP50" s="14"/>
    </row>
    <row r="51" spans="2:68">
      <c r="B51" s="14"/>
      <c r="C51" s="14"/>
      <c r="D51" s="15"/>
      <c r="E51" s="14"/>
      <c r="F51" s="55"/>
      <c r="G51" s="55"/>
      <c r="H51" s="14"/>
      <c r="I51" s="261"/>
      <c r="J51" s="261"/>
      <c r="K51" s="261"/>
      <c r="L51" s="14"/>
      <c r="M51" s="14"/>
      <c r="N51" s="14"/>
      <c r="O51" s="14"/>
      <c r="P51" s="14"/>
      <c r="Q51" s="14"/>
      <c r="R51" s="14"/>
      <c r="S51" s="14"/>
      <c r="T51" s="14"/>
      <c r="U51" s="14"/>
      <c r="V51" s="14"/>
      <c r="W51" s="14"/>
      <c r="X51" s="14"/>
      <c r="Y51" s="14"/>
      <c r="Z51" s="14"/>
      <c r="AA51" s="14"/>
      <c r="AB51" s="14"/>
      <c r="AC51" s="14"/>
      <c r="AD51" s="14"/>
      <c r="AE51" s="14"/>
      <c r="AF51" s="14"/>
      <c r="AG51" s="14"/>
      <c r="AH51" s="14"/>
      <c r="AI51" s="14"/>
      <c r="AJ51" s="14"/>
      <c r="AK51" s="14"/>
      <c r="AL51" s="14"/>
      <c r="AM51" s="14"/>
      <c r="AN51" s="14"/>
      <c r="AO51" s="14"/>
      <c r="AP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c r="BO51" s="14"/>
      <c r="BP51" s="14"/>
    </row>
    <row r="52" spans="2:68">
      <c r="B52" s="14"/>
      <c r="C52" s="14"/>
      <c r="D52" s="14"/>
      <c r="E52" s="14"/>
      <c r="F52" s="14"/>
      <c r="G52" s="14"/>
      <c r="H52" s="14"/>
      <c r="I52" s="14"/>
      <c r="J52" s="14"/>
      <c r="K52" s="14"/>
      <c r="L52" s="14"/>
      <c r="M52" s="14"/>
      <c r="N52" s="14"/>
      <c r="O52" s="14"/>
      <c r="P52" s="14"/>
      <c r="Q52" s="14"/>
      <c r="R52" s="14"/>
      <c r="S52" s="14"/>
      <c r="T52" s="14"/>
      <c r="U52" s="14"/>
      <c r="V52" s="14"/>
      <c r="W52" s="14"/>
      <c r="X52" s="14"/>
      <c r="Y52" s="14"/>
      <c r="Z52" s="14"/>
      <c r="AA52" s="14"/>
      <c r="AB52" s="14"/>
      <c r="AC52" s="14"/>
      <c r="AD52" s="14"/>
      <c r="AE52" s="14"/>
      <c r="AF52" s="14"/>
      <c r="AG52" s="14"/>
      <c r="AH52" s="14"/>
      <c r="AI52" s="14"/>
      <c r="AJ52" s="14"/>
      <c r="AK52" s="14"/>
      <c r="AL52" s="14"/>
      <c r="AM52" s="14"/>
      <c r="AN52" s="14"/>
      <c r="AO52" s="14"/>
      <c r="AP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row>
    <row r="53" spans="2:68">
      <c r="B53" s="14"/>
      <c r="C53" s="14"/>
      <c r="D53" s="14"/>
      <c r="E53" s="14"/>
      <c r="F53" s="14"/>
      <c r="G53" s="14"/>
      <c r="H53" s="14"/>
      <c r="I53" s="14"/>
      <c r="J53" s="14"/>
      <c r="K53" s="14"/>
      <c r="L53" s="14"/>
      <c r="M53" s="14"/>
      <c r="N53" s="14"/>
      <c r="O53" s="14"/>
      <c r="P53" s="14"/>
      <c r="Q53" s="14"/>
      <c r="R53" s="14"/>
      <c r="S53" s="14"/>
      <c r="T53" s="14"/>
      <c r="U53" s="14"/>
      <c r="V53" s="14"/>
      <c r="W53" s="14"/>
      <c r="X53" s="14"/>
      <c r="Y53" s="14"/>
      <c r="Z53" s="14"/>
      <c r="AA53" s="14"/>
      <c r="AB53" s="14"/>
      <c r="AC53" s="14"/>
      <c r="AD53" s="14"/>
      <c r="AE53" s="14"/>
      <c r="AF53" s="14"/>
      <c r="AG53" s="14"/>
      <c r="AH53" s="14"/>
      <c r="AI53" s="14"/>
      <c r="AJ53" s="14"/>
      <c r="AK53" s="14"/>
      <c r="AL53" s="14"/>
      <c r="AM53" s="14"/>
      <c r="AN53" s="14"/>
      <c r="AO53" s="14"/>
      <c r="AP53" s="14"/>
      <c r="AQ53" s="14"/>
      <c r="AR53" s="14"/>
      <c r="AS53" s="14"/>
      <c r="AT53" s="14"/>
      <c r="AU53" s="14"/>
      <c r="AV53" s="14"/>
      <c r="AW53" s="14"/>
      <c r="AX53" s="14"/>
      <c r="AY53" s="14"/>
      <c r="AZ53" s="14"/>
      <c r="BA53" s="14"/>
      <c r="BB53" s="14"/>
      <c r="BC53" s="14"/>
      <c r="BD53" s="14"/>
      <c r="BE53" s="14"/>
      <c r="BF53" s="14"/>
      <c r="BG53" s="14"/>
      <c r="BH53" s="14"/>
      <c r="BI53" s="14"/>
      <c r="BJ53" s="14"/>
      <c r="BK53" s="14"/>
      <c r="BL53" s="14"/>
      <c r="BM53" s="14"/>
      <c r="BN53" s="14"/>
      <c r="BO53" s="14"/>
      <c r="BP53" s="14"/>
    </row>
    <row r="54" spans="2:68">
      <c r="B54" s="14"/>
      <c r="C54" s="14"/>
      <c r="D54" s="14"/>
      <c r="E54" s="14"/>
      <c r="F54" s="14"/>
      <c r="G54" s="14"/>
      <c r="H54" s="14"/>
      <c r="I54" s="14"/>
      <c r="J54" s="14"/>
      <c r="K54" s="14"/>
      <c r="L54" s="14"/>
      <c r="M54" s="14"/>
      <c r="N54" s="14"/>
      <c r="O54" s="14"/>
      <c r="P54" s="14"/>
      <c r="Q54" s="14"/>
      <c r="R54" s="14"/>
      <c r="S54" s="14"/>
      <c r="T54" s="14"/>
      <c r="U54" s="14"/>
      <c r="V54" s="14"/>
      <c r="W54" s="14"/>
      <c r="X54" s="14"/>
      <c r="Y54" s="14"/>
      <c r="Z54" s="14"/>
      <c r="AA54" s="14"/>
      <c r="AB54" s="14"/>
      <c r="AC54" s="14"/>
      <c r="AD54" s="14"/>
      <c r="AE54" s="14"/>
      <c r="AF54" s="14"/>
      <c r="AG54" s="14"/>
      <c r="AH54" s="14"/>
      <c r="AI54" s="14"/>
      <c r="AJ54" s="14"/>
      <c r="AK54" s="14"/>
      <c r="AL54" s="14"/>
      <c r="AM54" s="14"/>
      <c r="AN54" s="14"/>
      <c r="AO54" s="14"/>
      <c r="AP54" s="14"/>
      <c r="AQ54" s="14"/>
      <c r="AR54" s="14"/>
      <c r="AS54" s="14"/>
      <c r="AT54" s="14"/>
      <c r="AU54" s="14"/>
      <c r="AV54" s="14"/>
      <c r="AW54" s="14"/>
      <c r="AX54" s="14"/>
      <c r="AY54" s="14"/>
      <c r="AZ54" s="14"/>
      <c r="BA54" s="14"/>
      <c r="BB54" s="14"/>
      <c r="BC54" s="14"/>
      <c r="BD54" s="14"/>
      <c r="BE54" s="14"/>
      <c r="BF54" s="14"/>
      <c r="BG54" s="14"/>
      <c r="BH54" s="14"/>
      <c r="BI54" s="14"/>
      <c r="BJ54" s="14"/>
      <c r="BK54" s="14"/>
      <c r="BL54" s="14"/>
      <c r="BM54" s="14"/>
      <c r="BN54" s="14"/>
      <c r="BO54" s="14"/>
      <c r="BP54" s="14"/>
    </row>
    <row r="55" spans="2:68">
      <c r="B55" s="14"/>
      <c r="C55" s="14"/>
      <c r="D55" s="14"/>
      <c r="E55" s="14"/>
      <c r="F55" s="14"/>
      <c r="G55" s="14"/>
      <c r="H55" s="14"/>
      <c r="I55" s="14"/>
      <c r="J55" s="14"/>
      <c r="K55" s="14"/>
      <c r="L55" s="14"/>
      <c r="M55" s="14"/>
      <c r="N55" s="14"/>
      <c r="O55" s="14"/>
      <c r="P55" s="14"/>
      <c r="Q55" s="14"/>
      <c r="R55" s="14"/>
      <c r="S55" s="14"/>
      <c r="T55" s="14"/>
      <c r="U55" s="14"/>
      <c r="V55" s="14"/>
      <c r="W55" s="14"/>
      <c r="X55" s="14"/>
      <c r="Y55" s="14"/>
      <c r="Z55" s="14"/>
      <c r="AA55" s="14"/>
      <c r="AB55" s="14"/>
      <c r="AC55" s="14"/>
      <c r="AD55" s="14"/>
      <c r="AE55" s="14"/>
      <c r="AF55" s="14"/>
      <c r="AG55" s="14"/>
      <c r="AH55" s="14"/>
      <c r="AI55" s="14"/>
      <c r="AJ55" s="14"/>
      <c r="AK55" s="14"/>
      <c r="AL55" s="14"/>
      <c r="AM55" s="14"/>
      <c r="AN55" s="14"/>
      <c r="AO55" s="14"/>
      <c r="AP55" s="14"/>
      <c r="AQ55" s="14"/>
      <c r="AR55" s="14"/>
      <c r="AS55" s="14"/>
      <c r="AT55" s="14"/>
      <c r="AU55" s="14"/>
      <c r="AV55" s="14"/>
      <c r="AW55" s="14"/>
      <c r="AX55" s="14"/>
      <c r="AY55" s="14"/>
      <c r="AZ55" s="14"/>
      <c r="BA55" s="14"/>
      <c r="BB55" s="14"/>
      <c r="BC55" s="14"/>
      <c r="BD55" s="14"/>
      <c r="BE55" s="14"/>
      <c r="BF55" s="14"/>
      <c r="BG55" s="14"/>
      <c r="BH55" s="14"/>
      <c r="BI55" s="14"/>
      <c r="BJ55" s="14"/>
      <c r="BK55" s="14"/>
      <c r="BL55" s="14"/>
      <c r="BM55" s="14"/>
      <c r="BN55" s="14"/>
      <c r="BO55" s="14"/>
      <c r="BP55" s="14"/>
    </row>
    <row r="56" spans="2:68">
      <c r="B56" s="14"/>
      <c r="C56" s="14"/>
      <c r="D56" s="14"/>
      <c r="E56" s="14"/>
      <c r="F56" s="14"/>
      <c r="G56" s="14"/>
      <c r="H56" s="14"/>
      <c r="I56" s="14"/>
      <c r="J56" s="14"/>
      <c r="K56" s="14"/>
      <c r="L56" s="14"/>
      <c r="M56" s="14"/>
      <c r="N56" s="14"/>
      <c r="O56" s="14"/>
      <c r="P56" s="14"/>
      <c r="Q56" s="14"/>
      <c r="R56" s="14"/>
      <c r="S56" s="14"/>
      <c r="T56" s="14"/>
      <c r="U56" s="14"/>
      <c r="V56" s="14"/>
      <c r="W56" s="14"/>
      <c r="X56" s="14"/>
      <c r="Y56" s="14"/>
      <c r="Z56" s="14"/>
      <c r="AA56" s="14"/>
      <c r="AB56" s="14"/>
      <c r="AC56" s="14"/>
      <c r="AD56" s="14"/>
      <c r="AE56" s="14"/>
      <c r="AF56" s="14"/>
      <c r="AG56" s="14"/>
      <c r="AH56" s="14"/>
      <c r="AI56" s="14"/>
      <c r="AJ56" s="14"/>
      <c r="AK56" s="14"/>
      <c r="AL56" s="14"/>
      <c r="AM56" s="14"/>
      <c r="AN56" s="14"/>
      <c r="AO56" s="14"/>
      <c r="AP56" s="14"/>
      <c r="AQ56" s="14"/>
      <c r="AR56" s="14"/>
      <c r="AS56" s="14"/>
      <c r="AT56" s="14"/>
      <c r="AU56" s="14"/>
      <c r="AV56" s="14"/>
      <c r="AW56" s="14"/>
      <c r="AX56" s="14"/>
      <c r="AY56" s="14"/>
      <c r="AZ56" s="14"/>
      <c r="BA56" s="14"/>
      <c r="BB56" s="14"/>
      <c r="BC56" s="14"/>
      <c r="BD56" s="14"/>
      <c r="BE56" s="14"/>
      <c r="BF56" s="14"/>
      <c r="BG56" s="14"/>
      <c r="BH56" s="14"/>
      <c r="BI56" s="14"/>
      <c r="BJ56" s="14"/>
      <c r="BK56" s="14"/>
      <c r="BL56" s="14"/>
      <c r="BM56" s="14"/>
      <c r="BN56" s="14"/>
      <c r="BO56" s="14"/>
      <c r="BP56" s="14"/>
    </row>
    <row r="57" spans="2:68">
      <c r="B57" s="14"/>
      <c r="C57" s="14"/>
      <c r="D57" s="14"/>
      <c r="E57" s="14"/>
      <c r="F57" s="14"/>
      <c r="G57" s="14"/>
      <c r="H57" s="14"/>
      <c r="I57" s="14"/>
      <c r="J57" s="14"/>
      <c r="K57" s="14"/>
      <c r="L57" s="14"/>
      <c r="M57" s="14"/>
      <c r="N57" s="14"/>
      <c r="O57" s="14"/>
      <c r="P57" s="14"/>
      <c r="Q57" s="14"/>
      <c r="R57" s="14"/>
      <c r="S57" s="14"/>
      <c r="T57" s="14"/>
      <c r="U57" s="14"/>
      <c r="V57" s="14"/>
      <c r="W57" s="14"/>
      <c r="X57" s="14"/>
      <c r="Y57" s="14"/>
      <c r="Z57" s="14"/>
      <c r="AA57" s="14"/>
      <c r="AB57" s="14"/>
      <c r="AC57" s="14"/>
      <c r="AD57" s="14"/>
      <c r="AE57" s="14"/>
      <c r="AF57" s="14"/>
      <c r="AG57" s="14"/>
      <c r="AH57" s="14"/>
      <c r="AI57" s="14"/>
      <c r="AJ57" s="14"/>
      <c r="AK57" s="14"/>
      <c r="AL57" s="14"/>
      <c r="AM57" s="14"/>
      <c r="AN57" s="14"/>
      <c r="AO57" s="14"/>
      <c r="AP57" s="14"/>
      <c r="AQ57" s="14"/>
      <c r="AR57" s="14"/>
      <c r="AS57" s="14"/>
      <c r="AT57" s="14"/>
      <c r="AU57" s="14"/>
      <c r="AV57" s="14"/>
      <c r="AW57" s="14"/>
      <c r="AX57" s="14"/>
      <c r="AY57" s="14"/>
      <c r="AZ57" s="14"/>
      <c r="BA57" s="14"/>
      <c r="BB57" s="14"/>
      <c r="BC57" s="14"/>
      <c r="BD57" s="14"/>
      <c r="BE57" s="14"/>
      <c r="BF57" s="14"/>
      <c r="BG57" s="14"/>
      <c r="BH57" s="14"/>
      <c r="BI57" s="14"/>
      <c r="BJ57" s="14"/>
      <c r="BK57" s="14"/>
      <c r="BL57" s="14"/>
      <c r="BM57" s="14"/>
      <c r="BN57" s="14"/>
      <c r="BO57" s="14"/>
      <c r="BP57" s="14"/>
    </row>
    <row r="58" spans="2:68">
      <c r="B58" s="14"/>
      <c r="C58" s="14"/>
      <c r="D58" s="14"/>
      <c r="E58" s="14"/>
      <c r="F58" s="14"/>
      <c r="G58" s="14"/>
      <c r="H58" s="14"/>
      <c r="I58" s="14"/>
      <c r="J58" s="14"/>
      <c r="K58" s="14"/>
      <c r="L58" s="14"/>
      <c r="M58" s="14"/>
      <c r="N58" s="14"/>
      <c r="O58" s="14"/>
      <c r="P58" s="14"/>
      <c r="Q58" s="14"/>
      <c r="R58" s="14"/>
      <c r="S58" s="14"/>
      <c r="T58" s="14"/>
      <c r="U58" s="14"/>
      <c r="V58" s="14"/>
      <c r="W58" s="14"/>
      <c r="X58" s="14"/>
      <c r="Y58" s="14"/>
      <c r="Z58" s="14"/>
      <c r="AA58" s="14"/>
      <c r="AB58" s="14"/>
      <c r="AC58" s="14"/>
      <c r="AD58" s="14"/>
      <c r="AE58" s="14"/>
      <c r="AF58" s="14"/>
      <c r="AG58" s="14"/>
      <c r="AH58" s="14"/>
      <c r="AI58" s="14"/>
      <c r="AJ58" s="14"/>
      <c r="AK58" s="14"/>
      <c r="AL58" s="14"/>
      <c r="AM58" s="14"/>
      <c r="AN58" s="14"/>
      <c r="AO58" s="14"/>
      <c r="AP58" s="14"/>
      <c r="AQ58" s="14"/>
      <c r="AR58" s="14"/>
      <c r="AS58" s="14"/>
      <c r="AT58" s="14"/>
      <c r="AU58" s="14"/>
      <c r="AV58" s="14"/>
      <c r="AW58" s="14"/>
      <c r="AX58" s="14"/>
      <c r="AY58" s="14"/>
      <c r="AZ58" s="14"/>
      <c r="BA58" s="14"/>
      <c r="BB58" s="14"/>
      <c r="BC58" s="14"/>
      <c r="BD58" s="14"/>
      <c r="BE58" s="14"/>
      <c r="BF58" s="14"/>
      <c r="BG58" s="14"/>
      <c r="BH58" s="14"/>
      <c r="BI58" s="14"/>
      <c r="BJ58" s="14"/>
      <c r="BK58" s="14"/>
      <c r="BL58" s="14"/>
      <c r="BM58" s="14"/>
      <c r="BN58" s="14"/>
      <c r="BO58" s="14"/>
      <c r="BP58" s="14"/>
    </row>
    <row r="59" spans="2:68">
      <c r="B59" s="14"/>
      <c r="C59" s="14"/>
      <c r="D59" s="14"/>
      <c r="E59" s="14"/>
      <c r="F59" s="14"/>
      <c r="G59" s="14"/>
      <c r="H59" s="14"/>
      <c r="I59" s="14"/>
      <c r="J59" s="14"/>
      <c r="K59" s="14"/>
      <c r="L59" s="14"/>
      <c r="M59" s="14"/>
      <c r="N59" s="14"/>
      <c r="O59" s="14"/>
      <c r="P59" s="14"/>
      <c r="Q59" s="14"/>
      <c r="R59" s="14"/>
      <c r="S59" s="14"/>
      <c r="T59" s="14"/>
      <c r="U59" s="14"/>
      <c r="V59" s="14"/>
      <c r="W59" s="14"/>
      <c r="X59" s="14"/>
      <c r="Y59" s="14"/>
      <c r="Z59" s="14"/>
      <c r="AA59" s="14"/>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c r="BD59" s="14"/>
      <c r="BE59" s="14"/>
      <c r="BF59" s="14"/>
      <c r="BG59" s="14"/>
      <c r="BH59" s="14"/>
      <c r="BI59" s="14"/>
      <c r="BJ59" s="14"/>
      <c r="BK59" s="14"/>
      <c r="BL59" s="14"/>
      <c r="BM59" s="14"/>
      <c r="BN59" s="14"/>
      <c r="BO59" s="14"/>
      <c r="BP59" s="14"/>
    </row>
    <row r="60" spans="2:68">
      <c r="B60" s="14"/>
      <c r="C60" s="14"/>
      <c r="D60" s="14"/>
      <c r="E60" s="14"/>
      <c r="F60" s="14"/>
      <c r="G60" s="14"/>
      <c r="H60" s="14"/>
      <c r="I60" s="14"/>
      <c r="J60" s="14"/>
      <c r="K60" s="14"/>
      <c r="L60" s="14"/>
      <c r="M60" s="14"/>
      <c r="N60" s="14"/>
      <c r="O60" s="14"/>
      <c r="P60" s="14"/>
      <c r="Q60" s="14"/>
      <c r="R60" s="14"/>
      <c r="S60" s="14"/>
      <c r="T60" s="14"/>
      <c r="U60" s="14"/>
      <c r="V60" s="14"/>
      <c r="W60" s="14"/>
      <c r="X60" s="14"/>
      <c r="Y60" s="14"/>
      <c r="Z60" s="14"/>
      <c r="AA60" s="14"/>
      <c r="AB60" s="14"/>
      <c r="AC60" s="14"/>
      <c r="AD60" s="14"/>
      <c r="AE60" s="14"/>
      <c r="AF60" s="14"/>
      <c r="AG60" s="14"/>
      <c r="AH60" s="14"/>
      <c r="AI60" s="14"/>
      <c r="AJ60" s="14"/>
      <c r="AK60" s="14"/>
      <c r="AL60" s="14"/>
      <c r="AM60" s="14"/>
      <c r="AN60" s="14"/>
      <c r="AO60" s="14"/>
      <c r="AP60" s="14"/>
      <c r="AQ60" s="14"/>
      <c r="AR60" s="14"/>
      <c r="AS60" s="14"/>
      <c r="AT60" s="14"/>
      <c r="AU60" s="14"/>
      <c r="AV60" s="14"/>
      <c r="AW60" s="14"/>
      <c r="AX60" s="14"/>
      <c r="AY60" s="14"/>
      <c r="AZ60" s="14"/>
      <c r="BA60" s="14"/>
      <c r="BB60" s="14"/>
      <c r="BC60" s="14"/>
      <c r="BD60" s="14"/>
      <c r="BE60" s="14"/>
      <c r="BF60" s="14"/>
      <c r="BG60" s="14"/>
      <c r="BH60" s="14"/>
      <c r="BI60" s="14"/>
      <c r="BJ60" s="14"/>
      <c r="BK60" s="14"/>
      <c r="BL60" s="14"/>
      <c r="BM60" s="14"/>
      <c r="BN60" s="14"/>
      <c r="BO60" s="14"/>
      <c r="BP60" s="14"/>
    </row>
    <row r="61" spans="2:68">
      <c r="B61" s="14"/>
      <c r="C61" s="14"/>
      <c r="D61" s="14"/>
      <c r="E61" s="14"/>
      <c r="F61" s="14"/>
      <c r="G61" s="14"/>
      <c r="H61" s="14"/>
      <c r="I61" s="14"/>
      <c r="J61" s="14"/>
      <c r="K61" s="14"/>
      <c r="L61" s="14"/>
      <c r="M61" s="14"/>
      <c r="N61" s="14"/>
      <c r="O61" s="14"/>
      <c r="P61" s="14"/>
      <c r="Q61" s="14"/>
      <c r="R61" s="14"/>
      <c r="S61" s="14"/>
      <c r="T61" s="14"/>
      <c r="U61" s="14"/>
      <c r="V61" s="14"/>
      <c r="W61" s="14"/>
      <c r="X61" s="14"/>
      <c r="Y61" s="14"/>
      <c r="Z61" s="14"/>
      <c r="AA61" s="14"/>
      <c r="AB61" s="14"/>
      <c r="AC61" s="14"/>
      <c r="AD61" s="14"/>
      <c r="AE61" s="14"/>
      <c r="AF61" s="14"/>
      <c r="AG61" s="14"/>
      <c r="AH61" s="14"/>
      <c r="AI61" s="14"/>
      <c r="AJ61" s="14"/>
      <c r="AK61" s="14"/>
      <c r="AL61" s="14"/>
      <c r="AM61" s="14"/>
      <c r="AN61" s="14"/>
      <c r="AO61" s="14"/>
      <c r="AP61" s="14"/>
      <c r="AQ61" s="14"/>
      <c r="AR61" s="14"/>
      <c r="AS61" s="14"/>
      <c r="AT61" s="14"/>
      <c r="AU61" s="14"/>
      <c r="AV61" s="14"/>
      <c r="AW61" s="14"/>
      <c r="AX61" s="14"/>
      <c r="AY61" s="14"/>
      <c r="AZ61" s="14"/>
      <c r="BA61" s="14"/>
      <c r="BB61" s="14"/>
      <c r="BC61" s="14"/>
      <c r="BD61" s="14"/>
      <c r="BE61" s="14"/>
      <c r="BF61" s="14"/>
      <c r="BG61" s="14"/>
      <c r="BH61" s="14"/>
      <c r="BI61" s="14"/>
      <c r="BJ61" s="14"/>
      <c r="BK61" s="14"/>
      <c r="BL61" s="14"/>
      <c r="BM61" s="14"/>
      <c r="BN61" s="14"/>
      <c r="BO61" s="14"/>
      <c r="BP61" s="14"/>
    </row>
    <row r="62" spans="2:68">
      <c r="B62" s="14"/>
      <c r="C62" s="14"/>
      <c r="D62" s="14"/>
      <c r="E62" s="14"/>
      <c r="F62" s="14"/>
      <c r="G62" s="14"/>
      <c r="H62" s="14"/>
      <c r="I62" s="14"/>
      <c r="J62" s="14"/>
      <c r="K62" s="14"/>
      <c r="L62" s="14"/>
      <c r="M62" s="14"/>
      <c r="N62" s="14"/>
      <c r="O62" s="14"/>
      <c r="P62" s="14"/>
      <c r="Q62" s="14"/>
      <c r="R62" s="14"/>
      <c r="S62" s="14"/>
      <c r="T62" s="14"/>
      <c r="U62" s="14"/>
      <c r="V62" s="14"/>
      <c r="W62" s="14"/>
      <c r="X62" s="14"/>
      <c r="Y62" s="14"/>
      <c r="Z62" s="14"/>
      <c r="AA62" s="14"/>
      <c r="AB62" s="14"/>
      <c r="AC62" s="14"/>
      <c r="AD62" s="14"/>
      <c r="AE62" s="14"/>
      <c r="AF62" s="14"/>
      <c r="AG62" s="14"/>
      <c r="AH62" s="14"/>
      <c r="AI62" s="14"/>
      <c r="AJ62" s="14"/>
      <c r="AK62" s="14"/>
      <c r="AL62" s="14"/>
      <c r="AM62" s="14"/>
      <c r="AN62" s="14"/>
      <c r="AO62" s="14"/>
      <c r="AP62" s="14"/>
      <c r="AQ62" s="14"/>
      <c r="AR62" s="14"/>
      <c r="AS62" s="14"/>
      <c r="AT62" s="14"/>
      <c r="AU62" s="14"/>
      <c r="AV62" s="14"/>
      <c r="AW62" s="14"/>
      <c r="AX62" s="14"/>
      <c r="AY62" s="14"/>
      <c r="AZ62" s="14"/>
      <c r="BA62" s="14"/>
      <c r="BB62" s="14"/>
      <c r="BC62" s="14"/>
      <c r="BD62" s="14"/>
      <c r="BE62" s="14"/>
      <c r="BF62" s="14"/>
      <c r="BG62" s="14"/>
      <c r="BH62" s="14"/>
      <c r="BI62" s="14"/>
      <c r="BJ62" s="14"/>
      <c r="BK62" s="14"/>
      <c r="BL62" s="14"/>
      <c r="BM62" s="14"/>
      <c r="BN62" s="14"/>
      <c r="BO62" s="14"/>
      <c r="BP62" s="14"/>
    </row>
    <row r="63" spans="2:68">
      <c r="B63" s="14"/>
      <c r="C63" s="14"/>
      <c r="D63" s="14"/>
      <c r="E63" s="14"/>
      <c r="F63" s="14"/>
      <c r="G63" s="14"/>
      <c r="H63" s="14"/>
      <c r="I63" s="14"/>
      <c r="J63" s="14"/>
      <c r="K63" s="14"/>
      <c r="L63" s="14"/>
      <c r="M63" s="14"/>
      <c r="N63" s="14"/>
      <c r="O63" s="14"/>
      <c r="P63" s="14"/>
      <c r="Q63" s="14"/>
      <c r="R63" s="14"/>
      <c r="S63" s="14"/>
      <c r="T63" s="14"/>
      <c r="U63" s="14"/>
      <c r="V63" s="14"/>
      <c r="W63" s="14"/>
      <c r="X63" s="14"/>
      <c r="Y63" s="14"/>
      <c r="Z63" s="14"/>
      <c r="AA63" s="14"/>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c r="BE63" s="14"/>
      <c r="BF63" s="14"/>
      <c r="BG63" s="14"/>
      <c r="BH63" s="14"/>
      <c r="BI63" s="14"/>
      <c r="BJ63" s="14"/>
      <c r="BK63" s="14"/>
      <c r="BL63" s="14"/>
      <c r="BM63" s="14"/>
      <c r="BN63" s="14"/>
      <c r="BO63" s="14"/>
      <c r="BP63" s="14"/>
    </row>
    <row r="64" spans="2:68">
      <c r="B64" s="14"/>
      <c r="C64" s="14"/>
      <c r="D64" s="14"/>
      <c r="E64" s="14"/>
      <c r="F64" s="14"/>
      <c r="G64" s="14"/>
      <c r="H64" s="14"/>
      <c r="I64" s="14"/>
      <c r="J64" s="14"/>
      <c r="K64" s="14"/>
      <c r="L64" s="14"/>
      <c r="M64" s="14"/>
      <c r="N64" s="14"/>
      <c r="O64" s="14"/>
      <c r="P64" s="14"/>
      <c r="Q64" s="14"/>
      <c r="R64" s="14"/>
      <c r="S64" s="14"/>
      <c r="T64" s="14"/>
      <c r="U64" s="14"/>
      <c r="V64" s="14"/>
      <c r="W64" s="14"/>
      <c r="X64" s="14"/>
      <c r="Y64" s="14"/>
      <c r="Z64" s="14"/>
      <c r="AA64" s="14"/>
      <c r="AB64" s="14"/>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c r="BI64" s="14"/>
      <c r="BJ64" s="14"/>
      <c r="BK64" s="14"/>
      <c r="BL64" s="14"/>
      <c r="BM64" s="14"/>
      <c r="BN64" s="14"/>
      <c r="BO64" s="14"/>
      <c r="BP64" s="14"/>
    </row>
    <row r="65" spans="2:68">
      <c r="B65" s="14"/>
      <c r="C65" s="14"/>
      <c r="D65" s="14"/>
      <c r="E65" s="14"/>
      <c r="F65" s="14"/>
      <c r="G65" s="14"/>
      <c r="H65" s="14"/>
      <c r="I65" s="14"/>
      <c r="J65" s="14"/>
      <c r="K65" s="14"/>
      <c r="L65" s="14"/>
      <c r="M65" s="14"/>
      <c r="N65" s="14"/>
      <c r="O65" s="14"/>
      <c r="P65" s="14"/>
      <c r="Q65" s="14"/>
      <c r="R65" s="14"/>
      <c r="S65" s="14"/>
      <c r="T65" s="14"/>
      <c r="U65" s="14"/>
      <c r="V65" s="14"/>
      <c r="W65" s="14"/>
      <c r="X65" s="14"/>
      <c r="Y65" s="14"/>
      <c r="Z65" s="14"/>
      <c r="AA65" s="14"/>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c r="BI65" s="14"/>
      <c r="BJ65" s="14"/>
      <c r="BK65" s="14"/>
      <c r="BL65" s="14"/>
      <c r="BM65" s="14"/>
      <c r="BN65" s="14"/>
      <c r="BO65" s="14"/>
      <c r="BP65" s="14"/>
    </row>
    <row r="66" spans="2:68">
      <c r="B66" s="14"/>
      <c r="C66" s="14"/>
      <c r="D66" s="14"/>
      <c r="E66" s="14"/>
      <c r="F66" s="14"/>
      <c r="G66" s="14"/>
      <c r="H66" s="14"/>
      <c r="I66" s="14"/>
      <c r="J66" s="14"/>
      <c r="K66" s="14"/>
      <c r="L66" s="14"/>
      <c r="M66" s="14"/>
      <c r="N66" s="14"/>
      <c r="O66" s="14"/>
      <c r="P66" s="14"/>
      <c r="Q66" s="14"/>
      <c r="R66" s="14"/>
      <c r="S66" s="14"/>
      <c r="T66" s="14"/>
      <c r="U66" s="14"/>
      <c r="V66" s="14"/>
      <c r="W66" s="14"/>
      <c r="X66" s="14"/>
      <c r="Y66" s="14"/>
      <c r="Z66" s="14"/>
      <c r="AA66" s="14"/>
      <c r="AB66" s="14"/>
      <c r="AC66" s="14"/>
      <c r="AD66" s="14"/>
      <c r="AE66" s="14"/>
      <c r="AF66" s="14"/>
      <c r="AG66" s="14"/>
      <c r="AH66" s="14"/>
      <c r="AI66" s="14"/>
      <c r="AJ66" s="14"/>
      <c r="AK66" s="14"/>
      <c r="AL66" s="14"/>
      <c r="AM66" s="14"/>
      <c r="AN66" s="14"/>
      <c r="AO66" s="14"/>
      <c r="AP66" s="14"/>
      <c r="AQ66" s="14"/>
      <c r="AR66" s="14"/>
      <c r="AS66" s="14"/>
      <c r="AT66" s="14"/>
      <c r="AU66" s="14"/>
      <c r="AV66" s="14"/>
      <c r="AW66" s="14"/>
      <c r="AX66" s="14"/>
      <c r="AY66" s="14"/>
      <c r="AZ66" s="14"/>
      <c r="BA66" s="14"/>
      <c r="BB66" s="14"/>
      <c r="BC66" s="14"/>
      <c r="BD66" s="14"/>
      <c r="BE66" s="14"/>
      <c r="BF66" s="14"/>
      <c r="BG66" s="14"/>
      <c r="BH66" s="14"/>
      <c r="BI66" s="14"/>
      <c r="BJ66" s="14"/>
      <c r="BK66" s="14"/>
      <c r="BL66" s="14"/>
      <c r="BM66" s="14"/>
      <c r="BN66" s="14"/>
      <c r="BO66" s="14"/>
      <c r="BP66" s="14"/>
    </row>
    <row r="67" spans="2:68">
      <c r="B67" s="14"/>
      <c r="C67" s="14"/>
      <c r="D67" s="14"/>
      <c r="E67" s="14"/>
      <c r="F67" s="14"/>
      <c r="G67" s="14"/>
      <c r="H67" s="14"/>
      <c r="I67" s="14"/>
      <c r="J67" s="14"/>
      <c r="K67" s="14"/>
      <c r="L67" s="14"/>
      <c r="M67" s="14"/>
      <c r="N67" s="14"/>
      <c r="O67" s="14"/>
      <c r="P67" s="14"/>
      <c r="Q67" s="14"/>
      <c r="R67" s="14"/>
      <c r="S67" s="14"/>
      <c r="T67" s="14"/>
      <c r="U67" s="14"/>
      <c r="V67" s="14"/>
      <c r="W67" s="14"/>
      <c r="X67" s="14"/>
      <c r="Y67" s="14"/>
      <c r="Z67" s="14"/>
      <c r="AA67" s="14"/>
      <c r="AB67" s="14"/>
      <c r="AC67" s="14"/>
      <c r="AD67" s="14"/>
      <c r="AE67" s="14"/>
      <c r="AF67" s="14"/>
      <c r="AG67" s="14"/>
      <c r="AH67" s="14"/>
      <c r="AI67" s="14"/>
      <c r="AJ67" s="14"/>
      <c r="AK67" s="14"/>
      <c r="AL67" s="14"/>
      <c r="AM67" s="14"/>
      <c r="AN67" s="14"/>
      <c r="AO67" s="14"/>
      <c r="AP67" s="14"/>
      <c r="AQ67" s="14"/>
      <c r="AR67" s="14"/>
      <c r="AS67" s="14"/>
      <c r="AT67" s="14"/>
      <c r="AU67" s="14"/>
      <c r="AV67" s="14"/>
      <c r="AW67" s="14"/>
      <c r="AX67" s="14"/>
      <c r="AY67" s="14"/>
      <c r="AZ67" s="14"/>
      <c r="BA67" s="14"/>
      <c r="BB67" s="14"/>
      <c r="BC67" s="14"/>
      <c r="BD67" s="14"/>
      <c r="BE67" s="14"/>
      <c r="BF67" s="14"/>
      <c r="BG67" s="14"/>
      <c r="BH67" s="14"/>
      <c r="BI67" s="14"/>
      <c r="BJ67" s="14"/>
      <c r="BK67" s="14"/>
      <c r="BL67" s="14"/>
      <c r="BM67" s="14"/>
      <c r="BN67" s="14"/>
      <c r="BO67" s="14"/>
      <c r="BP67" s="14"/>
    </row>
    <row r="68" spans="2:68">
      <c r="B68" s="14"/>
      <c r="C68" s="14"/>
      <c r="D68" s="14"/>
      <c r="E68" s="14"/>
      <c r="F68" s="14"/>
      <c r="G68" s="14"/>
      <c r="H68" s="14"/>
      <c r="I68" s="14"/>
      <c r="J68" s="14"/>
      <c r="K68" s="14"/>
      <c r="L68" s="14"/>
      <c r="M68" s="14"/>
      <c r="N68" s="14"/>
      <c r="O68" s="14"/>
      <c r="P68" s="14"/>
      <c r="Q68" s="14"/>
      <c r="R68" s="14"/>
      <c r="S68" s="14"/>
      <c r="T68" s="14"/>
      <c r="U68" s="14"/>
      <c r="V68" s="14"/>
      <c r="W68" s="14"/>
      <c r="X68" s="14"/>
      <c r="Y68" s="14"/>
      <c r="Z68" s="14"/>
      <c r="AA68" s="14"/>
      <c r="AB68" s="14"/>
      <c r="AC68" s="14"/>
      <c r="AD68" s="14"/>
      <c r="AE68" s="14"/>
      <c r="AF68" s="14"/>
      <c r="AG68" s="14"/>
      <c r="AH68" s="14"/>
      <c r="AI68" s="14"/>
      <c r="AJ68" s="14"/>
      <c r="AK68" s="14"/>
      <c r="AL68" s="14"/>
      <c r="AM68" s="14"/>
      <c r="AN68" s="14"/>
      <c r="AO68" s="14"/>
      <c r="AP68" s="14"/>
      <c r="AQ68" s="14"/>
      <c r="AR68" s="14"/>
      <c r="AS68" s="14"/>
      <c r="AT68" s="14"/>
      <c r="AU68" s="14"/>
      <c r="AV68" s="14"/>
      <c r="AW68" s="14"/>
      <c r="AX68" s="14"/>
      <c r="AY68" s="14"/>
      <c r="AZ68" s="14"/>
      <c r="BA68" s="14"/>
      <c r="BB68" s="14"/>
      <c r="BC68" s="14"/>
      <c r="BD68" s="14"/>
      <c r="BE68" s="14"/>
      <c r="BF68" s="14"/>
      <c r="BG68" s="14"/>
      <c r="BH68" s="14"/>
      <c r="BI68" s="14"/>
      <c r="BJ68" s="14"/>
      <c r="BK68" s="14"/>
      <c r="BL68" s="14"/>
      <c r="BM68" s="14"/>
      <c r="BN68" s="14"/>
      <c r="BO68" s="14"/>
      <c r="BP68" s="14"/>
    </row>
    <row r="69" spans="2:68">
      <c r="B69" s="14"/>
      <c r="C69" s="14"/>
      <c r="D69" s="14"/>
      <c r="E69" s="14"/>
      <c r="F69" s="14"/>
      <c r="G69" s="14"/>
      <c r="H69" s="14"/>
      <c r="I69" s="14"/>
      <c r="J69" s="14"/>
      <c r="K69" s="14"/>
      <c r="L69" s="14"/>
      <c r="M69" s="14"/>
      <c r="N69" s="14"/>
      <c r="O69" s="14"/>
      <c r="P69" s="14"/>
      <c r="Q69" s="14"/>
      <c r="R69" s="14"/>
      <c r="S69" s="14"/>
      <c r="T69" s="14"/>
      <c r="U69" s="14"/>
      <c r="V69" s="14"/>
      <c r="W69" s="14"/>
      <c r="X69" s="14"/>
      <c r="Y69" s="14"/>
      <c r="Z69" s="14"/>
      <c r="AA69" s="14"/>
      <c r="AB69" s="14"/>
      <c r="AC69" s="14"/>
      <c r="AD69" s="14"/>
      <c r="AE69" s="14"/>
      <c r="AF69" s="14"/>
      <c r="AG69" s="14"/>
      <c r="AH69" s="14"/>
      <c r="AI69" s="14"/>
      <c r="AJ69" s="14"/>
      <c r="AK69" s="14"/>
      <c r="AL69" s="14"/>
      <c r="AM69" s="14"/>
      <c r="AN69" s="14"/>
      <c r="AO69" s="14"/>
      <c r="AP69" s="14"/>
      <c r="AQ69" s="14"/>
      <c r="AR69" s="14"/>
      <c r="AS69" s="14"/>
      <c r="AT69" s="14"/>
      <c r="AU69" s="14"/>
      <c r="AV69" s="14"/>
      <c r="AW69" s="14"/>
      <c r="AX69" s="14"/>
      <c r="AY69" s="14"/>
      <c r="AZ69" s="14"/>
      <c r="BA69" s="14"/>
      <c r="BB69" s="14"/>
      <c r="BC69" s="14"/>
      <c r="BD69" s="14"/>
      <c r="BE69" s="14"/>
      <c r="BF69" s="14"/>
      <c r="BG69" s="14"/>
      <c r="BH69" s="14"/>
      <c r="BI69" s="14"/>
      <c r="BJ69" s="14"/>
      <c r="BK69" s="14"/>
      <c r="BL69" s="14"/>
      <c r="BM69" s="14"/>
      <c r="BN69" s="14"/>
      <c r="BO69" s="14"/>
      <c r="BP69" s="14"/>
    </row>
    <row r="70" spans="2:68">
      <c r="B70" s="14"/>
      <c r="C70" s="14"/>
      <c r="D70" s="14"/>
      <c r="E70" s="14"/>
      <c r="F70" s="14"/>
      <c r="G70" s="14"/>
      <c r="H70" s="14"/>
      <c r="I70" s="14"/>
      <c r="J70" s="14"/>
      <c r="K70" s="14"/>
      <c r="L70" s="14"/>
      <c r="M70" s="14"/>
      <c r="N70" s="14"/>
      <c r="O70" s="14"/>
      <c r="P70" s="14"/>
      <c r="Q70" s="14"/>
      <c r="R70" s="14"/>
      <c r="S70" s="14"/>
      <c r="T70" s="14"/>
      <c r="U70" s="14"/>
      <c r="V70" s="14"/>
      <c r="W70" s="14"/>
      <c r="X70" s="14"/>
      <c r="Y70" s="14"/>
      <c r="Z70" s="14"/>
      <c r="AA70" s="14"/>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s="14"/>
      <c r="BJ70" s="14"/>
      <c r="BK70" s="14"/>
      <c r="BL70" s="14"/>
      <c r="BM70" s="14"/>
      <c r="BN70" s="14"/>
      <c r="BO70" s="14"/>
      <c r="BP70" s="14"/>
    </row>
    <row r="71" spans="2:68">
      <c r="B71" s="14"/>
      <c r="C71" s="14"/>
      <c r="D71" s="14"/>
      <c r="E71" s="14"/>
      <c r="F71" s="14"/>
      <c r="G71" s="14"/>
      <c r="H71" s="14"/>
      <c r="I71" s="14"/>
      <c r="J71" s="14"/>
      <c r="K71" s="14"/>
      <c r="L71" s="14"/>
      <c r="M71" s="14"/>
      <c r="N71" s="14"/>
      <c r="O71" s="14"/>
      <c r="P71" s="14"/>
      <c r="Q71" s="14"/>
      <c r="R71" s="14"/>
      <c r="S71" s="14"/>
      <c r="T71" s="14"/>
      <c r="U71" s="14"/>
      <c r="V71" s="14"/>
      <c r="W71" s="14"/>
      <c r="X71" s="14"/>
      <c r="Y71" s="14"/>
      <c r="Z71" s="14"/>
      <c r="AA71" s="14"/>
      <c r="AB71" s="14"/>
      <c r="AC71" s="14"/>
      <c r="AD71" s="14"/>
      <c r="AE71" s="14"/>
      <c r="AF71" s="14"/>
      <c r="AG71" s="14"/>
      <c r="AH71" s="14"/>
      <c r="AI71" s="14"/>
      <c r="AJ71" s="14"/>
      <c r="AK71" s="14"/>
      <c r="AL71" s="14"/>
      <c r="AM71" s="14"/>
      <c r="AN71" s="14"/>
      <c r="AO71" s="14"/>
      <c r="AP71" s="14"/>
      <c r="AQ71" s="14"/>
      <c r="AR71" s="14"/>
      <c r="AS71" s="14"/>
      <c r="AT71" s="14"/>
      <c r="AU71" s="14"/>
      <c r="AV71" s="14"/>
      <c r="AW71" s="14"/>
      <c r="AX71" s="14"/>
      <c r="AY71" s="14"/>
      <c r="AZ71" s="14"/>
      <c r="BA71" s="14"/>
      <c r="BB71" s="14"/>
      <c r="BC71" s="14"/>
      <c r="BD71" s="14"/>
      <c r="BE71" s="14"/>
      <c r="BF71" s="14"/>
      <c r="BG71" s="14"/>
      <c r="BH71" s="14"/>
      <c r="BI71" s="14"/>
      <c r="BJ71" s="14"/>
      <c r="BK71" s="14"/>
      <c r="BL71" s="14"/>
      <c r="BM71" s="14"/>
      <c r="BN71" s="14"/>
      <c r="BO71" s="14"/>
      <c r="BP71" s="14"/>
    </row>
    <row r="72" spans="2:68">
      <c r="B72" s="14"/>
      <c r="C72" s="14"/>
      <c r="D72" s="14"/>
      <c r="E72" s="14"/>
      <c r="F72" s="14"/>
      <c r="G72" s="14"/>
      <c r="H72" s="14"/>
      <c r="I72" s="14"/>
      <c r="J72" s="14"/>
      <c r="K72" s="14"/>
      <c r="L72" s="14"/>
      <c r="M72" s="14"/>
      <c r="N72" s="14"/>
      <c r="O72" s="14"/>
      <c r="P72" s="14"/>
      <c r="Q72" s="14"/>
      <c r="R72" s="14"/>
      <c r="S72" s="14"/>
      <c r="T72" s="14"/>
      <c r="U72" s="14"/>
      <c r="V72" s="14"/>
      <c r="W72" s="14"/>
      <c r="X72" s="14"/>
      <c r="Y72" s="14"/>
      <c r="Z72" s="14"/>
      <c r="AA72" s="14"/>
      <c r="AB72" s="14"/>
      <c r="AC72" s="14"/>
      <c r="AD72" s="14"/>
      <c r="AE72" s="14"/>
      <c r="AF72" s="14"/>
      <c r="AG72" s="14"/>
      <c r="AH72" s="14"/>
      <c r="AI72" s="14"/>
      <c r="AJ72" s="14"/>
      <c r="AK72" s="14"/>
      <c r="AL72" s="14"/>
      <c r="AM72" s="14"/>
      <c r="AN72" s="14"/>
      <c r="AO72" s="14"/>
      <c r="AP72" s="14"/>
      <c r="AQ72" s="14"/>
      <c r="AR72" s="14"/>
      <c r="AS72" s="14"/>
      <c r="AT72" s="14"/>
      <c r="AU72" s="14"/>
      <c r="AV72" s="14"/>
      <c r="AW72" s="14"/>
      <c r="AX72" s="14"/>
      <c r="AY72" s="14"/>
      <c r="AZ72" s="14"/>
      <c r="BA72" s="14"/>
      <c r="BB72" s="14"/>
      <c r="BC72" s="14"/>
      <c r="BD72" s="14"/>
      <c r="BE72" s="14"/>
      <c r="BF72" s="14"/>
      <c r="BG72" s="14"/>
      <c r="BH72" s="14"/>
      <c r="BI72" s="14"/>
      <c r="BJ72" s="14"/>
      <c r="BK72" s="14"/>
      <c r="BL72" s="14"/>
      <c r="BM72" s="14"/>
      <c r="BN72" s="14"/>
      <c r="BO72" s="14"/>
      <c r="BP72" s="14"/>
    </row>
    <row r="73" spans="2:68">
      <c r="B73" s="14"/>
      <c r="C73" s="14"/>
      <c r="D73" s="14"/>
      <c r="E73" s="14"/>
      <c r="F73" s="14"/>
      <c r="G73" s="14"/>
      <c r="H73" s="14"/>
      <c r="I73" s="14"/>
      <c r="J73" s="14"/>
      <c r="K73" s="14"/>
      <c r="L73" s="14"/>
      <c r="M73" s="14"/>
      <c r="N73" s="14"/>
      <c r="O73" s="14"/>
      <c r="P73" s="14"/>
      <c r="Q73" s="14"/>
      <c r="R73" s="14"/>
      <c r="S73" s="14"/>
      <c r="T73" s="14"/>
      <c r="U73" s="14"/>
      <c r="V73" s="14"/>
      <c r="W73" s="14"/>
      <c r="X73" s="14"/>
      <c r="Y73" s="14"/>
      <c r="Z73" s="14"/>
      <c r="AA73" s="14"/>
      <c r="AB73" s="14"/>
      <c r="AC73" s="14"/>
      <c r="AD73" s="14"/>
      <c r="AE73" s="14"/>
      <c r="AF73" s="14"/>
      <c r="AG73" s="14"/>
      <c r="AH73" s="14"/>
      <c r="AI73" s="14"/>
      <c r="AJ73" s="14"/>
      <c r="AK73" s="14"/>
      <c r="AL73" s="14"/>
      <c r="AM73" s="14"/>
      <c r="AN73" s="14"/>
      <c r="AO73" s="14"/>
      <c r="AP73" s="14"/>
      <c r="AQ73" s="14"/>
      <c r="AR73" s="14"/>
      <c r="AS73" s="14"/>
      <c r="AT73" s="14"/>
      <c r="AU73" s="14"/>
      <c r="AV73" s="14"/>
      <c r="AW73" s="14"/>
      <c r="AX73" s="14"/>
      <c r="AY73" s="14"/>
      <c r="AZ73" s="14"/>
      <c r="BA73" s="14"/>
      <c r="BB73" s="14"/>
      <c r="BC73" s="14"/>
      <c r="BD73" s="14"/>
      <c r="BE73" s="14"/>
      <c r="BF73" s="14"/>
      <c r="BG73" s="14"/>
      <c r="BH73" s="14"/>
      <c r="BI73" s="14"/>
      <c r="BJ73" s="14"/>
      <c r="BK73" s="14"/>
      <c r="BL73" s="14"/>
      <c r="BM73" s="14"/>
      <c r="BN73" s="14"/>
      <c r="BO73" s="14"/>
      <c r="BP73" s="14"/>
    </row>
    <row r="74" spans="2:68">
      <c r="B74" s="14"/>
      <c r="C74" s="14"/>
      <c r="D74" s="14"/>
      <c r="E74" s="14"/>
      <c r="F74" s="14"/>
      <c r="G74" s="14"/>
      <c r="H74" s="14"/>
      <c r="I74" s="14"/>
      <c r="J74" s="14"/>
      <c r="K74" s="14"/>
      <c r="L74" s="14"/>
      <c r="M74" s="14"/>
      <c r="N74" s="14"/>
      <c r="O74" s="14"/>
      <c r="P74" s="14"/>
      <c r="Q74" s="14"/>
      <c r="R74" s="14"/>
      <c r="S74" s="14"/>
      <c r="T74" s="14"/>
      <c r="U74" s="14"/>
      <c r="V74" s="14"/>
      <c r="W74" s="14"/>
      <c r="X74" s="14"/>
      <c r="Y74" s="14"/>
      <c r="Z74" s="14"/>
      <c r="AA74" s="14"/>
      <c r="AB74" s="14"/>
      <c r="AC74" s="14"/>
      <c r="AD74" s="14"/>
      <c r="AE74" s="14"/>
      <c r="AF74" s="14"/>
      <c r="AG74" s="14"/>
      <c r="AH74" s="14"/>
      <c r="AI74" s="14"/>
      <c r="AJ74" s="14"/>
      <c r="AK74" s="14"/>
      <c r="AL74" s="14"/>
      <c r="AM74" s="14"/>
      <c r="AN74" s="14"/>
      <c r="AO74" s="14"/>
      <c r="AP74" s="14"/>
      <c r="AQ74" s="14"/>
      <c r="AR74" s="14"/>
      <c r="AS74" s="14"/>
      <c r="AT74" s="14"/>
      <c r="AU74" s="14"/>
      <c r="AV74" s="14"/>
      <c r="AW74" s="14"/>
      <c r="AX74" s="14"/>
      <c r="AY74" s="14"/>
      <c r="AZ74" s="14"/>
      <c r="BA74" s="14"/>
      <c r="BB74" s="14"/>
      <c r="BC74" s="14"/>
      <c r="BD74" s="14"/>
      <c r="BE74" s="14"/>
      <c r="BF74" s="14"/>
      <c r="BG74" s="14"/>
      <c r="BH74" s="14"/>
      <c r="BI74" s="14"/>
      <c r="BJ74" s="14"/>
      <c r="BK74" s="14"/>
      <c r="BL74" s="14"/>
      <c r="BM74" s="14"/>
      <c r="BN74" s="14"/>
      <c r="BO74" s="14"/>
      <c r="BP74" s="14"/>
    </row>
    <row r="75" spans="2:68">
      <c r="B75" s="14"/>
      <c r="C75" s="14"/>
      <c r="D75" s="14"/>
      <c r="E75" s="14"/>
      <c r="F75" s="14"/>
      <c r="G75" s="14"/>
      <c r="H75" s="14"/>
      <c r="I75" s="14"/>
      <c r="J75" s="14"/>
      <c r="K75" s="14"/>
      <c r="L75" s="14"/>
      <c r="M75" s="14"/>
      <c r="N75" s="14"/>
      <c r="O75" s="14"/>
      <c r="P75" s="14"/>
      <c r="Q75" s="14"/>
      <c r="R75" s="14"/>
      <c r="S75" s="14"/>
      <c r="T75" s="14"/>
      <c r="U75" s="14"/>
      <c r="V75" s="14"/>
      <c r="W75" s="14"/>
      <c r="X75" s="14"/>
      <c r="Y75" s="14"/>
      <c r="Z75" s="14"/>
      <c r="AA75" s="14"/>
      <c r="AB75" s="14"/>
      <c r="AC75" s="14"/>
      <c r="AD75" s="14"/>
      <c r="AE75" s="14"/>
      <c r="AF75" s="14"/>
      <c r="AG75" s="14"/>
      <c r="AH75" s="14"/>
      <c r="AI75" s="14"/>
      <c r="AJ75" s="14"/>
      <c r="AK75" s="14"/>
      <c r="AL75" s="14"/>
      <c r="AM75" s="14"/>
      <c r="AN75" s="14"/>
      <c r="AO75" s="14"/>
      <c r="AP75" s="14"/>
      <c r="AQ75" s="14"/>
      <c r="AR75" s="14"/>
      <c r="AS75" s="14"/>
      <c r="AT75" s="14"/>
      <c r="AU75" s="14"/>
      <c r="AV75" s="14"/>
      <c r="AW75" s="14"/>
      <c r="AX75" s="14"/>
      <c r="AY75" s="14"/>
      <c r="AZ75" s="14"/>
      <c r="BA75" s="14"/>
      <c r="BB75" s="14"/>
      <c r="BC75" s="14"/>
      <c r="BD75" s="14"/>
      <c r="BE75" s="14"/>
      <c r="BF75" s="14"/>
      <c r="BG75" s="14"/>
      <c r="BH75" s="14"/>
      <c r="BI75" s="14"/>
      <c r="BJ75" s="14"/>
      <c r="BK75" s="14"/>
      <c r="BL75" s="14"/>
      <c r="BM75" s="14"/>
      <c r="BN75" s="14"/>
      <c r="BO75" s="14"/>
      <c r="BP75" s="14"/>
    </row>
    <row r="76" spans="2:68">
      <c r="B76" s="14"/>
      <c r="C76" s="14"/>
      <c r="D76" s="14"/>
      <c r="E76" s="14"/>
      <c r="F76" s="14"/>
      <c r="G76" s="14"/>
      <c r="H76" s="14"/>
      <c r="I76" s="14"/>
      <c r="J76" s="14"/>
      <c r="K76" s="14"/>
      <c r="L76" s="14"/>
      <c r="M76" s="14"/>
      <c r="N76" s="14"/>
      <c r="O76" s="14"/>
      <c r="P76" s="14"/>
      <c r="Q76" s="14"/>
      <c r="R76" s="14"/>
      <c r="S76" s="14"/>
      <c r="T76" s="14"/>
      <c r="U76" s="14"/>
      <c r="V76" s="14"/>
      <c r="W76" s="14"/>
      <c r="X76" s="14"/>
      <c r="Y76" s="14"/>
      <c r="Z76" s="14"/>
      <c r="AA76" s="14"/>
      <c r="AB76" s="14"/>
      <c r="AC76" s="14"/>
      <c r="AD76" s="14"/>
      <c r="AE76" s="14"/>
      <c r="AF76" s="14"/>
      <c r="AG76" s="14"/>
      <c r="AH76" s="14"/>
      <c r="AI76" s="14"/>
      <c r="AJ76" s="14"/>
      <c r="AK76" s="14"/>
      <c r="AL76" s="14"/>
      <c r="AM76" s="14"/>
      <c r="AN76" s="14"/>
      <c r="AO76" s="14"/>
      <c r="AP76" s="14"/>
      <c r="AQ76" s="14"/>
      <c r="AR76" s="14"/>
      <c r="AS76" s="14"/>
      <c r="AT76" s="14"/>
      <c r="AU76" s="14"/>
      <c r="AV76" s="14"/>
      <c r="AW76" s="14"/>
      <c r="AX76" s="14"/>
      <c r="AY76" s="14"/>
      <c r="AZ76" s="14"/>
      <c r="BA76" s="14"/>
      <c r="BB76" s="14"/>
      <c r="BC76" s="14"/>
      <c r="BD76" s="14"/>
      <c r="BE76" s="14"/>
      <c r="BF76" s="14"/>
      <c r="BG76" s="14"/>
      <c r="BH76" s="14"/>
      <c r="BI76" s="14"/>
      <c r="BJ76" s="14"/>
      <c r="BK76" s="14"/>
      <c r="BL76" s="14"/>
      <c r="BM76" s="14"/>
      <c r="BN76" s="14"/>
      <c r="BO76" s="14"/>
      <c r="BP76" s="14"/>
    </row>
    <row r="77" spans="2:68">
      <c r="B77" s="14"/>
      <c r="C77" s="14"/>
      <c r="D77" s="14"/>
      <c r="E77" s="14"/>
      <c r="F77" s="14"/>
      <c r="G77" s="14"/>
      <c r="H77" s="14"/>
      <c r="I77" s="14"/>
      <c r="J77" s="14"/>
      <c r="K77" s="14"/>
      <c r="L77" s="14"/>
      <c r="M77" s="14"/>
      <c r="N77" s="14"/>
      <c r="O77" s="14"/>
      <c r="P77" s="14"/>
      <c r="Q77" s="14"/>
      <c r="R77" s="14"/>
      <c r="S77" s="14"/>
      <c r="T77" s="14"/>
      <c r="U77" s="14"/>
      <c r="V77" s="14"/>
      <c r="W77" s="14"/>
      <c r="X77" s="14"/>
      <c r="Y77" s="14"/>
      <c r="Z77" s="14"/>
      <c r="AA77" s="14"/>
      <c r="AB77" s="14"/>
      <c r="AC77" s="14"/>
      <c r="AD77" s="14"/>
      <c r="AE77" s="14"/>
      <c r="AF77" s="14"/>
      <c r="AG77" s="14"/>
      <c r="AH77" s="14"/>
      <c r="AI77" s="14"/>
      <c r="AJ77" s="14"/>
      <c r="AK77" s="14"/>
      <c r="AL77" s="14"/>
      <c r="AM77" s="14"/>
      <c r="AN77" s="14"/>
      <c r="AO77" s="14"/>
      <c r="AP77" s="14"/>
      <c r="AQ77" s="14"/>
      <c r="AR77" s="14"/>
      <c r="AS77" s="14"/>
      <c r="AT77" s="14"/>
      <c r="AU77" s="14"/>
      <c r="AV77" s="14"/>
      <c r="AW77" s="14"/>
      <c r="AX77" s="14"/>
      <c r="AY77" s="14"/>
      <c r="AZ77" s="14"/>
      <c r="BA77" s="14"/>
      <c r="BB77" s="14"/>
      <c r="BC77" s="14"/>
      <c r="BD77" s="14"/>
      <c r="BE77" s="14"/>
      <c r="BF77" s="14"/>
      <c r="BG77" s="14"/>
      <c r="BH77" s="14"/>
      <c r="BI77" s="14"/>
      <c r="BJ77" s="14"/>
      <c r="BK77" s="14"/>
      <c r="BL77" s="14"/>
      <c r="BM77" s="14"/>
      <c r="BN77" s="14"/>
      <c r="BO77" s="14"/>
      <c r="BP77" s="14"/>
    </row>
    <row r="78" spans="2:68">
      <c r="B78" s="14"/>
      <c r="C78" s="14"/>
      <c r="D78" s="14"/>
      <c r="E78" s="14"/>
      <c r="F78" s="14"/>
      <c r="G78" s="14"/>
      <c r="H78" s="14"/>
      <c r="I78" s="14"/>
      <c r="J78" s="14"/>
      <c r="K78" s="14"/>
      <c r="L78" s="14"/>
      <c r="M78" s="14"/>
      <c r="N78" s="14"/>
      <c r="O78" s="14"/>
      <c r="P78" s="14"/>
      <c r="Q78" s="14"/>
      <c r="R78" s="14"/>
      <c r="S78" s="14"/>
      <c r="T78" s="14"/>
      <c r="U78" s="14"/>
      <c r="V78" s="14"/>
      <c r="W78" s="14"/>
      <c r="X78" s="14"/>
      <c r="Y78" s="14"/>
      <c r="Z78" s="14"/>
      <c r="AA78" s="14"/>
      <c r="AB78" s="14"/>
      <c r="AC78" s="14"/>
      <c r="AD78" s="14"/>
      <c r="AE78" s="14"/>
      <c r="AF78" s="14"/>
      <c r="AG78" s="14"/>
      <c r="AH78" s="14"/>
      <c r="AI78" s="14"/>
      <c r="AJ78" s="14"/>
      <c r="AK78" s="14"/>
      <c r="AL78" s="14"/>
      <c r="AM78" s="14"/>
      <c r="AN78" s="14"/>
      <c r="AO78" s="14"/>
      <c r="AP78" s="14"/>
      <c r="AQ78" s="14"/>
      <c r="AR78" s="14"/>
      <c r="AS78" s="14"/>
      <c r="AT78" s="14"/>
      <c r="AU78" s="14"/>
      <c r="AV78" s="14"/>
      <c r="AW78" s="14"/>
      <c r="AX78" s="14"/>
      <c r="AY78" s="14"/>
      <c r="AZ78" s="14"/>
      <c r="BA78" s="14"/>
      <c r="BB78" s="14"/>
      <c r="BC78" s="14"/>
      <c r="BD78" s="14"/>
      <c r="BE78" s="14"/>
      <c r="BF78" s="14"/>
      <c r="BG78" s="14"/>
      <c r="BH78" s="14"/>
      <c r="BI78" s="14"/>
      <c r="BJ78" s="14"/>
      <c r="BK78" s="14"/>
      <c r="BL78" s="14"/>
      <c r="BM78" s="14"/>
      <c r="BN78" s="14"/>
      <c r="BO78" s="14"/>
      <c r="BP78" s="14"/>
    </row>
    <row r="79" spans="2:68">
      <c r="B79" s="14"/>
      <c r="C79" s="14"/>
      <c r="D79" s="14"/>
      <c r="E79" s="14"/>
      <c r="F79" s="14"/>
      <c r="G79" s="14"/>
      <c r="H79" s="14"/>
      <c r="I79" s="14"/>
      <c r="J79" s="14"/>
      <c r="K79" s="14"/>
      <c r="L79" s="14"/>
      <c r="M79" s="14"/>
      <c r="N79" s="14"/>
      <c r="O79" s="14"/>
      <c r="P79" s="14"/>
      <c r="Q79" s="14"/>
      <c r="R79" s="14"/>
      <c r="S79" s="14"/>
      <c r="T79" s="14"/>
      <c r="U79" s="14"/>
      <c r="V79" s="14"/>
      <c r="W79" s="14"/>
      <c r="X79" s="14"/>
      <c r="Y79" s="14"/>
      <c r="Z79" s="14"/>
      <c r="AA79" s="14"/>
      <c r="AB79" s="14"/>
      <c r="AC79" s="14"/>
      <c r="AD79" s="14"/>
      <c r="AE79" s="14"/>
      <c r="AF79" s="14"/>
      <c r="AG79" s="14"/>
      <c r="AH79" s="14"/>
      <c r="AI79" s="14"/>
      <c r="AJ79" s="14"/>
      <c r="AK79" s="14"/>
      <c r="AL79" s="14"/>
      <c r="AM79" s="14"/>
      <c r="AN79" s="14"/>
      <c r="AO79" s="14"/>
      <c r="AP79" s="14"/>
      <c r="AQ79" s="14"/>
      <c r="AR79" s="14"/>
      <c r="AS79" s="14"/>
      <c r="AT79" s="14"/>
      <c r="AU79" s="14"/>
      <c r="AV79" s="14"/>
      <c r="AW79" s="14"/>
      <c r="AX79" s="14"/>
      <c r="AY79" s="14"/>
      <c r="AZ79" s="14"/>
      <c r="BA79" s="14"/>
      <c r="BB79" s="14"/>
      <c r="BC79" s="14"/>
      <c r="BD79" s="14"/>
      <c r="BE79" s="14"/>
      <c r="BF79" s="14"/>
      <c r="BG79" s="14"/>
      <c r="BH79" s="14"/>
      <c r="BI79" s="14"/>
      <c r="BJ79" s="14"/>
      <c r="BK79" s="14"/>
      <c r="BL79" s="14"/>
      <c r="BM79" s="14"/>
      <c r="BN79" s="14"/>
      <c r="BO79" s="14"/>
      <c r="BP79" s="14"/>
    </row>
    <row r="80" spans="2:68">
      <c r="B80" s="14"/>
      <c r="C80" s="14"/>
      <c r="D80" s="14"/>
      <c r="E80" s="14"/>
      <c r="F80" s="14"/>
      <c r="G80" s="14"/>
      <c r="H80" s="14"/>
      <c r="I80" s="14"/>
      <c r="J80" s="14"/>
      <c r="K80" s="14"/>
      <c r="L80" s="14"/>
      <c r="M80" s="14"/>
      <c r="N80" s="14"/>
      <c r="O80" s="14"/>
      <c r="P80" s="14"/>
      <c r="Q80" s="14"/>
      <c r="R80" s="14"/>
      <c r="S80" s="14"/>
      <c r="T80" s="14"/>
      <c r="U80" s="14"/>
      <c r="V80" s="14"/>
      <c r="W80" s="14"/>
      <c r="X80" s="14"/>
      <c r="Y80" s="14"/>
      <c r="Z80" s="14"/>
      <c r="AA80" s="14"/>
      <c r="AB80" s="14"/>
      <c r="AC80" s="14"/>
      <c r="AD80" s="14"/>
      <c r="AE80" s="14"/>
      <c r="AF80" s="14"/>
      <c r="AG80" s="14"/>
      <c r="AH80" s="14"/>
      <c r="AI80" s="14"/>
      <c r="AJ80" s="14"/>
      <c r="AK80" s="14"/>
      <c r="AL80" s="14"/>
      <c r="AM80" s="14"/>
      <c r="AN80" s="14"/>
      <c r="AO80" s="14"/>
      <c r="AP80" s="14"/>
      <c r="AQ80" s="14"/>
      <c r="AR80" s="14"/>
      <c r="AS80" s="14"/>
      <c r="AT80" s="14"/>
      <c r="AU80" s="14"/>
      <c r="AV80" s="14"/>
      <c r="AW80" s="14"/>
      <c r="AX80" s="14"/>
      <c r="AY80" s="14"/>
      <c r="AZ80" s="14"/>
      <c r="BA80" s="14"/>
      <c r="BB80" s="14"/>
      <c r="BC80" s="14"/>
      <c r="BD80" s="14"/>
      <c r="BE80" s="14"/>
      <c r="BF80" s="14"/>
      <c r="BG80" s="14"/>
      <c r="BH80" s="14"/>
      <c r="BI80" s="14"/>
      <c r="BJ80" s="14"/>
      <c r="BK80" s="14"/>
      <c r="BL80" s="14"/>
      <c r="BM80" s="14"/>
      <c r="BN80" s="14"/>
      <c r="BO80" s="14"/>
      <c r="BP80" s="14"/>
    </row>
    <row r="81" spans="1:68">
      <c r="B81" s="14"/>
      <c r="C81" s="14"/>
      <c r="D81" s="14"/>
      <c r="E81" s="14"/>
      <c r="F81" s="14"/>
      <c r="G81" s="14"/>
      <c r="H81" s="14"/>
      <c r="I81" s="14"/>
      <c r="J81" s="14"/>
      <c r="K81" s="14"/>
      <c r="L81" s="14"/>
      <c r="M81" s="14"/>
      <c r="N81" s="14"/>
      <c r="O81" s="14"/>
      <c r="P81" s="14"/>
      <c r="Q81" s="14"/>
      <c r="R81" s="14"/>
      <c r="S81" s="14"/>
      <c r="T81" s="14"/>
      <c r="U81" s="14"/>
      <c r="V81" s="14"/>
      <c r="W81" s="14"/>
      <c r="X81" s="14"/>
      <c r="Y81" s="14"/>
      <c r="Z81" s="14"/>
      <c r="AA81" s="14"/>
      <c r="AB81" s="14"/>
      <c r="AC81" s="14"/>
      <c r="AD81" s="14"/>
      <c r="AE81" s="14"/>
      <c r="AF81" s="14"/>
      <c r="AG81" s="14"/>
      <c r="AH81" s="14"/>
      <c r="AI81" s="14"/>
      <c r="AJ81" s="14"/>
      <c r="AK81" s="14"/>
      <c r="AL81" s="14"/>
      <c r="AM81" s="14"/>
      <c r="AN81" s="14"/>
      <c r="AO81" s="14"/>
      <c r="AP81" s="14"/>
      <c r="AQ81" s="14"/>
      <c r="AR81" s="14"/>
      <c r="AS81" s="14"/>
      <c r="AT81" s="14"/>
      <c r="AU81" s="14"/>
      <c r="AV81" s="14"/>
      <c r="AW81" s="14"/>
      <c r="AX81" s="14"/>
      <c r="AY81" s="14"/>
      <c r="AZ81" s="14"/>
      <c r="BA81" s="14"/>
      <c r="BB81" s="14"/>
      <c r="BC81" s="14"/>
      <c r="BD81" s="14"/>
      <c r="BE81" s="14"/>
      <c r="BF81" s="14"/>
      <c r="BG81" s="14"/>
      <c r="BH81" s="14"/>
      <c r="BI81" s="14"/>
      <c r="BJ81" s="14"/>
      <c r="BK81" s="14"/>
      <c r="BL81" s="14"/>
      <c r="BM81" s="14"/>
      <c r="BN81" s="14"/>
      <c r="BO81" s="14"/>
      <c r="BP81" s="14"/>
    </row>
    <row r="82" spans="1:68">
      <c r="B82" s="14"/>
      <c r="C82" s="14"/>
      <c r="D82" s="14"/>
      <c r="E82" s="14"/>
      <c r="F82" s="14"/>
      <c r="G82" s="14"/>
      <c r="H82" s="14"/>
      <c r="I82" s="14"/>
      <c r="J82" s="14"/>
      <c r="K82" s="14"/>
      <c r="L82" s="14"/>
      <c r="M82" s="14"/>
      <c r="N82" s="14"/>
      <c r="O82" s="14"/>
      <c r="P82" s="14"/>
      <c r="Q82" s="14"/>
      <c r="R82" s="14"/>
      <c r="S82" s="14"/>
      <c r="T82" s="14"/>
      <c r="U82" s="14"/>
      <c r="V82" s="14"/>
      <c r="W82" s="14"/>
      <c r="X82" s="14"/>
      <c r="Y82" s="14"/>
      <c r="Z82" s="14"/>
      <c r="AA82" s="14"/>
      <c r="AB82" s="14"/>
      <c r="AC82" s="14"/>
      <c r="AD82" s="14"/>
      <c r="AE82" s="14"/>
      <c r="AF82" s="14"/>
      <c r="AG82" s="14"/>
      <c r="AH82" s="14"/>
      <c r="AI82" s="14"/>
      <c r="AJ82" s="14"/>
      <c r="AK82" s="14"/>
      <c r="AL82" s="14"/>
      <c r="AM82" s="14"/>
      <c r="AN82" s="14"/>
      <c r="AO82" s="14"/>
      <c r="AP82" s="14"/>
      <c r="AQ82" s="14"/>
      <c r="AR82" s="14"/>
      <c r="AS82" s="14"/>
      <c r="AT82" s="14"/>
      <c r="AU82" s="14"/>
      <c r="AV82" s="14"/>
      <c r="AW82" s="14"/>
      <c r="AX82" s="14"/>
      <c r="AY82" s="14"/>
      <c r="AZ82" s="14"/>
      <c r="BA82" s="14"/>
      <c r="BB82" s="14"/>
      <c r="BC82" s="14"/>
      <c r="BD82" s="14"/>
      <c r="BE82" s="14"/>
      <c r="BF82" s="14"/>
      <c r="BG82" s="14"/>
      <c r="BH82" s="14"/>
      <c r="BI82" s="14"/>
      <c r="BJ82" s="14"/>
      <c r="BK82" s="14"/>
      <c r="BL82" s="14"/>
      <c r="BM82" s="14"/>
      <c r="BN82" s="14"/>
      <c r="BO82" s="14"/>
      <c r="BP82" s="14"/>
    </row>
    <row r="83" spans="1:68">
      <c r="B83" s="14"/>
      <c r="C83" s="14"/>
      <c r="D83" s="14"/>
      <c r="E83" s="14"/>
      <c r="F83" s="14"/>
      <c r="G83" s="14"/>
      <c r="H83" s="14"/>
      <c r="I83" s="14"/>
      <c r="J83" s="14"/>
      <c r="K83" s="14"/>
      <c r="L83" s="14"/>
      <c r="M83" s="14"/>
      <c r="N83" s="14"/>
      <c r="O83" s="14"/>
      <c r="P83" s="14"/>
      <c r="Q83" s="14"/>
      <c r="R83" s="14"/>
      <c r="S83" s="14"/>
      <c r="T83" s="14"/>
      <c r="U83" s="14"/>
      <c r="V83" s="14"/>
      <c r="W83" s="14"/>
      <c r="X83" s="14"/>
      <c r="Y83" s="14"/>
      <c r="Z83" s="14"/>
      <c r="AA83" s="14"/>
      <c r="AB83" s="14"/>
      <c r="AC83" s="14"/>
      <c r="AD83" s="14"/>
      <c r="AE83" s="14"/>
      <c r="AF83" s="14"/>
      <c r="AG83" s="14"/>
      <c r="AH83" s="14"/>
      <c r="AI83" s="14"/>
      <c r="AJ83" s="14"/>
      <c r="AK83" s="14"/>
      <c r="AL83" s="14"/>
      <c r="AM83" s="14"/>
      <c r="AN83" s="14"/>
      <c r="AO83" s="14"/>
      <c r="AP83" s="14"/>
      <c r="AQ83" s="14"/>
      <c r="AR83" s="14"/>
      <c r="AS83" s="14"/>
      <c r="AT83" s="14"/>
      <c r="AU83" s="14"/>
      <c r="AV83" s="14"/>
      <c r="AW83" s="14"/>
      <c r="AX83" s="14"/>
      <c r="AY83" s="14"/>
      <c r="AZ83" s="14"/>
      <c r="BA83" s="14"/>
      <c r="BB83" s="14"/>
      <c r="BC83" s="14"/>
      <c r="BD83" s="14"/>
      <c r="BE83" s="14"/>
      <c r="BF83" s="14"/>
      <c r="BG83" s="14"/>
      <c r="BH83" s="14"/>
      <c r="BI83" s="14"/>
      <c r="BJ83" s="14"/>
      <c r="BK83" s="14"/>
      <c r="BL83" s="14"/>
      <c r="BM83" s="14"/>
      <c r="BN83" s="14"/>
      <c r="BO83" s="14"/>
      <c r="BP83" s="14"/>
    </row>
    <row r="84" spans="1:68">
      <c r="A84" s="9"/>
      <c r="B84" s="14"/>
      <c r="C84" s="14"/>
      <c r="D84" s="14"/>
      <c r="E84" s="14"/>
      <c r="F84" s="14"/>
      <c r="G84" s="14"/>
      <c r="H84" s="14"/>
      <c r="I84" s="14"/>
      <c r="J84" s="14"/>
      <c r="K84" s="14"/>
      <c r="L84" s="14"/>
      <c r="M84" s="14"/>
      <c r="N84" s="14"/>
      <c r="O84" s="14"/>
      <c r="P84" s="14"/>
      <c r="Q84" s="14"/>
      <c r="R84" s="14"/>
      <c r="S84" s="14"/>
      <c r="T84" s="14"/>
      <c r="U84" s="14"/>
      <c r="V84" s="14"/>
      <c r="W84" s="14"/>
      <c r="X84" s="14"/>
      <c r="Y84" s="14"/>
      <c r="Z84" s="14"/>
      <c r="AA84" s="14"/>
      <c r="AB84" s="14"/>
      <c r="AC84" s="14"/>
      <c r="AD84" s="14"/>
      <c r="AE84" s="14"/>
      <c r="AF84" s="14"/>
      <c r="AG84" s="14"/>
      <c r="AH84" s="14"/>
      <c r="AI84" s="14"/>
      <c r="AJ84" s="14"/>
      <c r="AK84" s="14"/>
      <c r="AL84" s="14"/>
      <c r="AM84" s="14"/>
      <c r="AN84" s="14"/>
      <c r="AO84" s="14"/>
      <c r="AP84" s="14"/>
      <c r="AQ84" s="14"/>
      <c r="AR84" s="14"/>
      <c r="AS84" s="14"/>
      <c r="AT84" s="14"/>
      <c r="AU84" s="14"/>
      <c r="AV84" s="14"/>
      <c r="AW84" s="14"/>
      <c r="AX84" s="14"/>
      <c r="AY84" s="14"/>
      <c r="AZ84" s="14"/>
      <c r="BA84" s="14"/>
      <c r="BB84" s="14"/>
      <c r="BC84" s="14"/>
      <c r="BD84" s="14"/>
      <c r="BE84" s="83"/>
      <c r="BF84" s="83"/>
      <c r="BG84" s="83"/>
      <c r="BH84" s="83"/>
      <c r="BI84" s="83"/>
      <c r="BJ84" s="83"/>
      <c r="BK84" s="83"/>
      <c r="BL84" s="83"/>
      <c r="BM84" s="83"/>
      <c r="BN84" s="83"/>
      <c r="BO84" s="83"/>
      <c r="BP84" s="83"/>
    </row>
    <row r="85" spans="1:68">
      <c r="A85" s="9"/>
      <c r="B85" s="14"/>
      <c r="C85" s="14"/>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83"/>
      <c r="BF85" s="83"/>
      <c r="BG85" s="83"/>
      <c r="BH85" s="83"/>
      <c r="BI85" s="83"/>
      <c r="BJ85" s="83"/>
      <c r="BK85" s="83"/>
      <c r="BL85" s="83"/>
      <c r="BM85" s="83"/>
      <c r="BN85" s="83"/>
      <c r="BO85" s="83"/>
      <c r="BP85" s="83"/>
    </row>
    <row r="86" spans="1:68">
      <c r="A86" s="9"/>
      <c r="B86" s="14"/>
      <c r="C86" s="14"/>
      <c r="D86" s="14"/>
      <c r="E86" s="14"/>
      <c r="F86" s="14"/>
      <c r="G86" s="14"/>
      <c r="H86" s="14"/>
      <c r="I86" s="14"/>
      <c r="J86" s="14"/>
      <c r="K86" s="14"/>
      <c r="L86" s="14"/>
      <c r="M86" s="14"/>
      <c r="N86" s="14"/>
      <c r="O86" s="14"/>
      <c r="P86" s="14"/>
      <c r="Q86" s="14"/>
      <c r="R86" s="14"/>
      <c r="S86" s="14"/>
      <c r="T86" s="14"/>
      <c r="U86" s="14"/>
      <c r="V86" s="14"/>
      <c r="W86" s="14"/>
      <c r="X86" s="14"/>
      <c r="Y86" s="14"/>
      <c r="Z86" s="14"/>
      <c r="AA86" s="14"/>
      <c r="AB86" s="14"/>
      <c r="AC86" s="14"/>
      <c r="AD86" s="14"/>
      <c r="AE86" s="14"/>
      <c r="AF86" s="14"/>
      <c r="AG86" s="14"/>
      <c r="AH86" s="14"/>
      <c r="AI86" s="14"/>
      <c r="AJ86" s="14"/>
      <c r="AK86" s="55"/>
      <c r="AL86" s="55"/>
      <c r="AM86" s="55"/>
      <c r="AN86" s="55"/>
      <c r="AO86" s="55"/>
      <c r="AP86" s="55"/>
      <c r="AQ86" s="55"/>
      <c r="AR86" s="55"/>
      <c r="AS86" s="55"/>
      <c r="AT86" s="55"/>
      <c r="AU86" s="55"/>
      <c r="AV86" s="55"/>
      <c r="AW86" s="55"/>
      <c r="AX86" s="55"/>
      <c r="AY86" s="55"/>
      <c r="AZ86" s="55"/>
      <c r="BA86" s="14"/>
      <c r="BB86" s="14"/>
      <c r="BC86" s="14"/>
      <c r="BD86" s="14"/>
      <c r="BE86" s="83"/>
      <c r="BF86" s="83"/>
      <c r="BG86" s="83"/>
      <c r="BH86" s="83"/>
      <c r="BI86" s="83"/>
      <c r="BJ86" s="83"/>
      <c r="BK86" s="83"/>
      <c r="BL86" s="83"/>
      <c r="BM86" s="83"/>
      <c r="BN86" s="83"/>
      <c r="BO86" s="83"/>
      <c r="BP86" s="83"/>
    </row>
    <row r="87" spans="1:68">
      <c r="A87" s="9"/>
      <c r="B87" s="14"/>
      <c r="C87" s="14"/>
      <c r="D87" s="14"/>
      <c r="E87" s="14"/>
      <c r="F87" s="14"/>
      <c r="G87" s="14"/>
      <c r="H87" s="14"/>
      <c r="I87" s="14"/>
      <c r="J87" s="14"/>
      <c r="K87" s="14"/>
      <c r="L87" s="14"/>
      <c r="M87" s="14"/>
      <c r="N87" s="14"/>
      <c r="O87" s="14"/>
      <c r="P87" s="14"/>
      <c r="Q87" s="14"/>
      <c r="R87" s="14"/>
      <c r="S87" s="14"/>
      <c r="T87" s="14"/>
      <c r="U87" s="14"/>
      <c r="V87" s="14"/>
      <c r="W87" s="14"/>
      <c r="X87" s="14"/>
      <c r="Y87" s="14"/>
      <c r="Z87" s="14"/>
      <c r="AA87" s="14"/>
      <c r="AB87" s="14"/>
      <c r="AC87" s="14"/>
      <c r="AD87" s="14"/>
      <c r="AE87" s="14"/>
      <c r="AF87" s="14"/>
      <c r="AG87" s="14"/>
      <c r="AH87" s="14"/>
      <c r="AI87" s="14"/>
      <c r="AJ87" s="14"/>
      <c r="AK87" s="14"/>
      <c r="AL87" s="14"/>
      <c r="AM87" s="14"/>
      <c r="AN87" s="14"/>
      <c r="AO87" s="14"/>
      <c r="AP87" s="14"/>
      <c r="AQ87" s="14"/>
      <c r="AR87" s="14"/>
      <c r="AS87" s="14"/>
      <c r="AT87" s="14"/>
      <c r="AU87" s="14"/>
      <c r="AV87" s="14"/>
      <c r="AW87" s="14"/>
      <c r="AX87" s="14"/>
      <c r="AY87" s="14"/>
      <c r="AZ87" s="14"/>
      <c r="BA87" s="14"/>
      <c r="BB87" s="14"/>
      <c r="BC87" s="14"/>
      <c r="BD87" s="14"/>
      <c r="BE87" s="83"/>
      <c r="BF87" s="83"/>
      <c r="BG87" s="83"/>
      <c r="BH87" s="83"/>
      <c r="BI87" s="83"/>
      <c r="BJ87" s="83"/>
      <c r="BK87" s="83"/>
      <c r="BL87" s="83"/>
      <c r="BM87" s="83"/>
      <c r="BN87" s="83"/>
      <c r="BO87" s="83"/>
      <c r="BP87" s="83"/>
    </row>
    <row r="88" spans="1:68">
      <c r="A88" s="9"/>
      <c r="B88" s="14"/>
      <c r="C88" s="14"/>
      <c r="D88" s="14"/>
      <c r="E88" s="14"/>
      <c r="F88" s="14"/>
      <c r="G88" s="14"/>
      <c r="H88" s="14"/>
      <c r="I88" s="14"/>
      <c r="J88" s="14"/>
      <c r="K88" s="14"/>
      <c r="L88" s="14"/>
      <c r="M88" s="14"/>
      <c r="N88" s="14"/>
      <c r="O88" s="14"/>
      <c r="P88" s="14"/>
      <c r="Q88" s="14"/>
      <c r="R88" s="14"/>
      <c r="S88" s="14"/>
      <c r="T88" s="14"/>
      <c r="U88" s="14"/>
      <c r="V88" s="14"/>
      <c r="W88" s="14"/>
      <c r="X88" s="14"/>
      <c r="Y88" s="14"/>
      <c r="Z88" s="14"/>
      <c r="AA88" s="14"/>
      <c r="AB88" s="14"/>
      <c r="AC88" s="14"/>
      <c r="AD88" s="14"/>
      <c r="AE88" s="14"/>
      <c r="AF88" s="14"/>
      <c r="AG88" s="14"/>
      <c r="AH88" s="14"/>
      <c r="AI88" s="14"/>
      <c r="AJ88" s="14"/>
      <c r="AK88" s="14"/>
      <c r="AL88" s="14"/>
      <c r="AM88" s="14"/>
      <c r="AN88" s="14"/>
      <c r="AO88" s="14"/>
      <c r="AP88" s="14"/>
      <c r="AQ88" s="14"/>
      <c r="AR88" s="14"/>
      <c r="AS88" s="14"/>
      <c r="AT88" s="14"/>
      <c r="AU88" s="14"/>
      <c r="AV88" s="14"/>
      <c r="AW88" s="14"/>
      <c r="AX88" s="14"/>
      <c r="AY88" s="14"/>
      <c r="AZ88" s="14"/>
      <c r="BA88" s="14"/>
      <c r="BB88" s="14"/>
      <c r="BC88" s="14"/>
      <c r="BD88" s="14"/>
      <c r="BE88" s="83"/>
      <c r="BF88" s="83"/>
      <c r="BG88" s="83"/>
      <c r="BH88" s="83"/>
      <c r="BI88" s="83"/>
      <c r="BJ88" s="83"/>
      <c r="BK88" s="83"/>
      <c r="BL88" s="83"/>
      <c r="BM88" s="83"/>
      <c r="BN88" s="83"/>
      <c r="BO88" s="83"/>
      <c r="BP88" s="83"/>
    </row>
    <row r="89" spans="1:68">
      <c r="A89" s="9"/>
      <c r="B89" s="14"/>
      <c r="C89" s="14"/>
      <c r="D89" s="14"/>
      <c r="E89" s="14"/>
      <c r="F89" s="14"/>
      <c r="G89" s="14"/>
      <c r="H89" s="14"/>
      <c r="I89" s="14"/>
      <c r="J89" s="14"/>
      <c r="K89" s="14"/>
      <c r="L89" s="14"/>
      <c r="M89" s="14"/>
      <c r="N89" s="14"/>
      <c r="O89" s="14"/>
      <c r="P89" s="14"/>
      <c r="Q89" s="14"/>
      <c r="R89" s="14"/>
      <c r="S89" s="14"/>
      <c r="T89" s="14"/>
      <c r="U89" s="14"/>
      <c r="V89" s="14"/>
      <c r="W89" s="14"/>
      <c r="X89" s="14"/>
      <c r="Y89" s="14"/>
      <c r="Z89" s="14"/>
      <c r="AA89" s="14"/>
      <c r="AB89" s="14"/>
      <c r="AC89" s="14"/>
      <c r="AD89" s="14"/>
      <c r="AE89" s="14"/>
      <c r="AF89" s="14"/>
      <c r="AG89" s="14"/>
      <c r="AH89" s="14"/>
      <c r="AI89" s="14"/>
      <c r="AJ89" s="14"/>
      <c r="AK89" s="14"/>
      <c r="AL89" s="14"/>
      <c r="AM89" s="14"/>
      <c r="AN89" s="14"/>
      <c r="AO89" s="14"/>
      <c r="AP89" s="14"/>
      <c r="AQ89" s="14"/>
      <c r="AR89" s="14"/>
      <c r="AS89" s="14"/>
      <c r="AT89" s="14"/>
      <c r="AU89" s="14"/>
      <c r="AV89" s="14"/>
      <c r="AW89" s="14"/>
      <c r="AX89" s="14"/>
      <c r="AY89" s="14"/>
      <c r="AZ89" s="14"/>
      <c r="BA89" s="14"/>
      <c r="BB89" s="14"/>
      <c r="BC89" s="14"/>
      <c r="BD89" s="14"/>
      <c r="BE89" s="83"/>
      <c r="BF89" s="83"/>
      <c r="BG89" s="83"/>
      <c r="BH89" s="83"/>
      <c r="BI89" s="83"/>
      <c r="BJ89" s="83"/>
      <c r="BK89" s="83"/>
      <c r="BL89" s="83"/>
      <c r="BM89" s="83"/>
      <c r="BN89" s="83"/>
      <c r="BO89" s="83"/>
      <c r="BP89" s="83"/>
    </row>
    <row r="90" spans="1:68">
      <c r="A90" s="9"/>
      <c r="B90" s="14"/>
      <c r="C90" s="14"/>
      <c r="D90" s="14"/>
      <c r="E90" s="14"/>
      <c r="F90" s="14"/>
      <c r="G90" s="14"/>
      <c r="H90" s="14"/>
      <c r="I90" s="14"/>
      <c r="J90" s="14"/>
      <c r="K90" s="14"/>
      <c r="L90" s="14"/>
      <c r="M90" s="14"/>
      <c r="N90" s="14"/>
      <c r="O90" s="14"/>
      <c r="P90" s="14"/>
      <c r="Q90" s="14"/>
      <c r="R90" s="14"/>
      <c r="S90" s="14"/>
      <c r="T90" s="14"/>
      <c r="U90" s="14"/>
      <c r="V90" s="14"/>
      <c r="W90" s="14"/>
      <c r="X90" s="14"/>
      <c r="Y90" s="14"/>
      <c r="Z90" s="14"/>
      <c r="AA90" s="14"/>
      <c r="AB90" s="14"/>
      <c r="AC90" s="14"/>
      <c r="AD90" s="14"/>
      <c r="AE90" s="14"/>
      <c r="AF90" s="14"/>
      <c r="AG90" s="14"/>
      <c r="AH90" s="14"/>
      <c r="AI90" s="14"/>
      <c r="AJ90" s="14"/>
      <c r="AK90" s="14"/>
      <c r="AL90" s="14"/>
      <c r="AM90" s="14"/>
      <c r="AN90" s="14"/>
      <c r="AO90" s="14"/>
      <c r="AP90" s="14"/>
      <c r="AQ90" s="14"/>
      <c r="AR90" s="14"/>
      <c r="AS90" s="14"/>
      <c r="AT90" s="14"/>
      <c r="AU90" s="14"/>
      <c r="AV90" s="14"/>
      <c r="AW90" s="14"/>
      <c r="AX90" s="14"/>
      <c r="AY90" s="14"/>
      <c r="AZ90" s="14"/>
      <c r="BA90" s="14"/>
      <c r="BB90" s="14"/>
      <c r="BC90" s="14"/>
      <c r="BD90" s="14"/>
      <c r="BE90" s="83"/>
      <c r="BF90" s="83"/>
      <c r="BG90" s="83"/>
      <c r="BH90" s="83"/>
      <c r="BI90" s="83"/>
      <c r="BJ90" s="83"/>
      <c r="BK90" s="83"/>
      <c r="BL90" s="83"/>
      <c r="BM90" s="83"/>
      <c r="BN90" s="83"/>
      <c r="BO90" s="83"/>
      <c r="BP90" s="83"/>
    </row>
    <row r="91" spans="1:68">
      <c r="A91" s="9"/>
      <c r="B91" s="14"/>
      <c r="C91" s="14"/>
      <c r="D91" s="14"/>
      <c r="E91" s="14"/>
      <c r="F91" s="14"/>
      <c r="G91" s="14"/>
      <c r="H91" s="14"/>
      <c r="I91" s="14"/>
      <c r="J91" s="14"/>
      <c r="K91" s="14"/>
      <c r="L91" s="14"/>
      <c r="M91" s="14"/>
      <c r="N91" s="14"/>
      <c r="O91" s="14"/>
      <c r="P91" s="14"/>
      <c r="Q91" s="14"/>
      <c r="R91" s="14"/>
      <c r="S91" s="14"/>
      <c r="T91" s="14"/>
      <c r="U91" s="14"/>
      <c r="V91" s="14"/>
      <c r="W91" s="14"/>
      <c r="X91" s="14"/>
      <c r="Y91" s="14"/>
      <c r="Z91" s="14"/>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4"/>
      <c r="BA91" s="14"/>
      <c r="BB91" s="14"/>
      <c r="BC91" s="14"/>
      <c r="BD91" s="14"/>
      <c r="BE91" s="83"/>
      <c r="BF91" s="83"/>
      <c r="BG91" s="83"/>
      <c r="BH91" s="83"/>
      <c r="BI91" s="83"/>
      <c r="BJ91" s="83"/>
      <c r="BK91" s="83"/>
      <c r="BL91" s="83"/>
      <c r="BM91" s="83"/>
      <c r="BN91" s="83"/>
      <c r="BO91" s="83"/>
      <c r="BP91" s="83"/>
    </row>
    <row r="92" spans="1:68">
      <c r="A92" s="9"/>
      <c r="B92" s="14"/>
      <c r="C92" s="14"/>
      <c r="D92" s="14"/>
      <c r="E92" s="14"/>
      <c r="F92" s="14"/>
      <c r="G92" s="14"/>
      <c r="H92" s="14"/>
      <c r="I92" s="14"/>
      <c r="J92" s="14"/>
      <c r="K92" s="14"/>
      <c r="L92" s="14"/>
      <c r="M92" s="14"/>
      <c r="N92" s="14"/>
      <c r="O92" s="14"/>
      <c r="P92" s="14"/>
      <c r="Q92" s="14"/>
      <c r="R92" s="14"/>
      <c r="S92" s="14"/>
      <c r="T92" s="14"/>
      <c r="U92" s="14"/>
      <c r="V92" s="14"/>
      <c r="W92" s="14"/>
      <c r="X92" s="14"/>
      <c r="Y92" s="14"/>
      <c r="Z92" s="14"/>
      <c r="AA92" s="14"/>
      <c r="AB92" s="14"/>
      <c r="AC92" s="14"/>
      <c r="AD92" s="14"/>
      <c r="AE92" s="14"/>
      <c r="AF92" s="14"/>
      <c r="AG92" s="14"/>
      <c r="AH92" s="14"/>
      <c r="AI92" s="14"/>
      <c r="AJ92" s="14"/>
      <c r="AK92" s="14"/>
      <c r="AL92" s="14"/>
      <c r="AM92" s="14"/>
      <c r="AN92" s="14"/>
      <c r="AO92" s="14"/>
      <c r="AP92" s="14"/>
      <c r="AQ92" s="14"/>
      <c r="AR92" s="14"/>
      <c r="AS92" s="14"/>
      <c r="AT92" s="14"/>
      <c r="AU92" s="14"/>
      <c r="AV92" s="14"/>
      <c r="AW92" s="14"/>
      <c r="AX92" s="14"/>
      <c r="AY92" s="14"/>
      <c r="AZ92" s="14"/>
      <c r="BA92" s="14"/>
      <c r="BB92" s="14"/>
      <c r="BC92" s="14"/>
      <c r="BD92" s="14"/>
      <c r="BE92" s="83"/>
      <c r="BF92" s="83"/>
      <c r="BG92" s="83"/>
      <c r="BH92" s="83"/>
      <c r="BI92" s="83"/>
      <c r="BJ92" s="83"/>
      <c r="BK92" s="83"/>
      <c r="BL92" s="83"/>
      <c r="BM92" s="83"/>
      <c r="BN92" s="83"/>
      <c r="BO92" s="83"/>
      <c r="BP92" s="83"/>
    </row>
    <row r="93" spans="1:68">
      <c r="A93" s="9"/>
      <c r="B93" s="14"/>
      <c r="C93" s="14"/>
      <c r="D93" s="14"/>
      <c r="E93" s="14"/>
      <c r="F93" s="14"/>
      <c r="G93" s="14"/>
      <c r="H93" s="14"/>
      <c r="I93" s="14"/>
      <c r="J93" s="14"/>
      <c r="K93" s="14"/>
      <c r="L93" s="14"/>
      <c r="M93" s="14"/>
      <c r="N93" s="14"/>
      <c r="O93" s="14"/>
      <c r="P93" s="14"/>
      <c r="Q93" s="14"/>
      <c r="R93" s="14"/>
      <c r="S93" s="14"/>
      <c r="T93" s="14"/>
      <c r="U93" s="14"/>
      <c r="V93" s="14"/>
      <c r="W93" s="14"/>
      <c r="X93" s="14"/>
      <c r="Y93" s="14"/>
      <c r="Z93" s="14"/>
      <c r="AA93" s="14"/>
      <c r="AB93" s="14"/>
      <c r="AC93" s="14"/>
      <c r="AD93" s="14"/>
      <c r="AE93" s="14"/>
      <c r="AF93" s="14"/>
      <c r="AG93" s="14"/>
      <c r="AH93" s="14"/>
      <c r="AI93" s="14"/>
      <c r="AJ93" s="14"/>
      <c r="AK93" s="14"/>
      <c r="AL93" s="14"/>
      <c r="AM93" s="14"/>
      <c r="AN93" s="14"/>
      <c r="AO93" s="14"/>
      <c r="AP93" s="14"/>
      <c r="AQ93" s="14"/>
      <c r="AR93" s="14"/>
      <c r="AS93" s="14"/>
      <c r="AT93" s="14"/>
      <c r="AU93" s="14"/>
      <c r="AV93" s="14"/>
      <c r="AW93" s="14"/>
      <c r="AX93" s="14"/>
      <c r="AY93" s="14"/>
      <c r="AZ93" s="14"/>
      <c r="BA93" s="14"/>
      <c r="BB93" s="14"/>
      <c r="BC93" s="14"/>
      <c r="BD93" s="14"/>
      <c r="BE93" s="83"/>
      <c r="BF93" s="83"/>
      <c r="BG93" s="83"/>
      <c r="BH93" s="83"/>
      <c r="BI93" s="83"/>
      <c r="BJ93" s="83"/>
      <c r="BK93" s="83"/>
      <c r="BL93" s="83"/>
      <c r="BM93" s="83"/>
      <c r="BN93" s="83"/>
      <c r="BO93" s="83"/>
      <c r="BP93" s="83"/>
    </row>
    <row r="94" spans="1:68">
      <c r="A94" s="9"/>
      <c r="B94" s="14"/>
      <c r="C94" s="14"/>
      <c r="D94" s="14"/>
      <c r="E94" s="14"/>
      <c r="F94" s="14"/>
      <c r="G94" s="14"/>
      <c r="H94" s="14"/>
      <c r="I94" s="14"/>
      <c r="J94" s="14"/>
      <c r="K94" s="14"/>
      <c r="L94" s="14"/>
      <c r="M94" s="14"/>
      <c r="N94" s="14"/>
      <c r="O94" s="14"/>
      <c r="P94" s="14"/>
      <c r="Q94" s="14"/>
      <c r="R94" s="14"/>
      <c r="S94" s="14"/>
      <c r="T94" s="14"/>
      <c r="U94" s="14"/>
      <c r="V94" s="14"/>
      <c r="W94" s="14"/>
      <c r="X94" s="14"/>
      <c r="Y94" s="14"/>
      <c r="Z94" s="14"/>
      <c r="AA94" s="14"/>
      <c r="AB94" s="14"/>
      <c r="AC94" s="14"/>
      <c r="AD94" s="14"/>
      <c r="AE94" s="14"/>
      <c r="AF94" s="14"/>
      <c r="AG94" s="14"/>
      <c r="AH94" s="14"/>
      <c r="AI94" s="14"/>
      <c r="AJ94" s="14"/>
      <c r="AK94" s="14"/>
      <c r="AL94" s="14"/>
      <c r="AM94" s="14"/>
      <c r="AN94" s="14"/>
      <c r="AO94" s="14"/>
      <c r="AP94" s="14"/>
      <c r="AQ94" s="14"/>
      <c r="AR94" s="14"/>
      <c r="AS94" s="14"/>
      <c r="AT94" s="14"/>
      <c r="AU94" s="14"/>
      <c r="AV94" s="14"/>
      <c r="AW94" s="14"/>
      <c r="AX94" s="14"/>
      <c r="AY94" s="14"/>
      <c r="AZ94" s="14"/>
      <c r="BA94" s="14"/>
      <c r="BB94" s="14"/>
      <c r="BC94" s="14"/>
      <c r="BD94" s="14"/>
      <c r="BE94" s="83"/>
      <c r="BF94" s="83"/>
      <c r="BG94" s="83"/>
      <c r="BH94" s="83"/>
      <c r="BI94" s="83"/>
      <c r="BJ94" s="83"/>
      <c r="BK94" s="83"/>
      <c r="BL94" s="83"/>
      <c r="BM94" s="83"/>
      <c r="BN94" s="83"/>
      <c r="BO94" s="83"/>
      <c r="BP94" s="83"/>
    </row>
    <row r="95" spans="1:68">
      <c r="A95" s="9"/>
      <c r="B95" s="14"/>
      <c r="C95" s="14"/>
      <c r="D95" s="14"/>
      <c r="E95" s="14"/>
      <c r="F95" s="14"/>
      <c r="G95" s="14"/>
      <c r="H95" s="14"/>
      <c r="I95" s="14"/>
      <c r="J95" s="14"/>
      <c r="K95" s="14"/>
      <c r="L95" s="14"/>
      <c r="M95" s="14"/>
      <c r="N95" s="14"/>
      <c r="O95" s="14"/>
      <c r="P95" s="14"/>
      <c r="Q95" s="14"/>
      <c r="R95" s="14"/>
      <c r="S95" s="14"/>
      <c r="T95" s="14"/>
      <c r="U95" s="14"/>
      <c r="V95" s="14"/>
      <c r="W95" s="14"/>
      <c r="X95" s="14"/>
      <c r="Y95" s="14"/>
      <c r="Z95" s="14"/>
      <c r="AA95" s="14"/>
      <c r="AB95" s="14"/>
      <c r="AC95" s="14"/>
      <c r="AD95" s="14"/>
      <c r="AE95" s="14"/>
      <c r="AF95" s="14"/>
      <c r="AG95" s="14"/>
      <c r="AH95" s="14"/>
      <c r="AI95" s="14"/>
      <c r="AJ95" s="14"/>
      <c r="AK95" s="262"/>
      <c r="AL95" s="262"/>
      <c r="AM95" s="262"/>
      <c r="AN95" s="262"/>
      <c r="AO95" s="262"/>
      <c r="AP95" s="14"/>
      <c r="AQ95" s="14"/>
      <c r="AR95" s="14"/>
      <c r="AS95" s="14"/>
      <c r="AT95" s="14"/>
      <c r="AU95" s="14"/>
      <c r="AV95" s="14"/>
      <c r="AW95" s="14"/>
      <c r="AX95" s="14"/>
      <c r="AY95" s="14"/>
      <c r="AZ95" s="14"/>
      <c r="BA95" s="14"/>
      <c r="BB95" s="14"/>
      <c r="BC95" s="14"/>
      <c r="BD95" s="14"/>
      <c r="BE95" s="83"/>
      <c r="BF95" s="83"/>
      <c r="BG95" s="83"/>
      <c r="BH95" s="83"/>
      <c r="BI95" s="83"/>
      <c r="BJ95" s="83"/>
      <c r="BK95" s="83"/>
      <c r="BL95" s="83"/>
      <c r="BM95" s="83"/>
      <c r="BN95" s="83"/>
      <c r="BO95" s="83"/>
      <c r="BP95" s="83"/>
    </row>
    <row r="96" spans="1:68">
      <c r="A96" s="9"/>
      <c r="B96" s="14"/>
      <c r="C96" s="14"/>
      <c r="D96" s="14"/>
      <c r="E96" s="14"/>
      <c r="F96" s="14"/>
      <c r="G96" s="14"/>
      <c r="H96" s="14"/>
      <c r="I96" s="14"/>
      <c r="J96" s="14"/>
      <c r="K96" s="14"/>
      <c r="L96" s="14"/>
      <c r="M96" s="14"/>
      <c r="N96" s="14"/>
      <c r="O96" s="14"/>
      <c r="P96" s="14"/>
      <c r="Q96" s="14"/>
      <c r="R96" s="14"/>
      <c r="S96" s="14"/>
      <c r="T96" s="14"/>
      <c r="U96" s="14"/>
      <c r="V96" s="14"/>
      <c r="W96" s="14"/>
      <c r="X96" s="14"/>
      <c r="Y96" s="14"/>
      <c r="Z96" s="14"/>
      <c r="AA96" s="14"/>
      <c r="AB96" s="14"/>
      <c r="AC96" s="14"/>
      <c r="AD96" s="14"/>
      <c r="AE96" s="14"/>
      <c r="AF96" s="14"/>
      <c r="AG96" s="14"/>
      <c r="AH96" s="14"/>
      <c r="AI96" s="14"/>
      <c r="AJ96" s="14"/>
      <c r="AK96" s="262"/>
      <c r="AL96" s="262"/>
      <c r="AM96" s="262"/>
      <c r="AN96" s="262"/>
      <c r="AO96" s="262"/>
      <c r="AP96" s="14"/>
      <c r="AQ96" s="14"/>
      <c r="AR96" s="14"/>
      <c r="AS96" s="14"/>
      <c r="AT96" s="14"/>
      <c r="AU96" s="14"/>
      <c r="AV96" s="14"/>
      <c r="AW96" s="14"/>
      <c r="AX96" s="14"/>
      <c r="AY96" s="14"/>
      <c r="AZ96" s="14"/>
      <c r="BA96" s="14"/>
      <c r="BB96" s="14"/>
      <c r="BC96" s="14"/>
      <c r="BD96" s="14"/>
      <c r="BE96" s="83"/>
      <c r="BF96" s="83"/>
      <c r="BG96" s="83"/>
      <c r="BH96" s="83"/>
      <c r="BI96" s="83"/>
      <c r="BJ96" s="83"/>
      <c r="BK96" s="83"/>
      <c r="BL96" s="83"/>
      <c r="BM96" s="83"/>
      <c r="BN96" s="83"/>
      <c r="BO96" s="83"/>
      <c r="BP96" s="83"/>
    </row>
    <row r="97" spans="1:68">
      <c r="A97" s="9"/>
      <c r="B97" s="14"/>
      <c r="C97" s="14"/>
      <c r="D97" s="14"/>
      <c r="E97" s="14"/>
      <c r="F97" s="14"/>
      <c r="G97" s="14"/>
      <c r="H97" s="14"/>
      <c r="I97" s="14"/>
      <c r="J97" s="14"/>
      <c r="K97" s="14"/>
      <c r="L97" s="14"/>
      <c r="M97" s="14"/>
      <c r="N97" s="14"/>
      <c r="O97" s="14"/>
      <c r="P97" s="14"/>
      <c r="Q97" s="14"/>
      <c r="R97" s="14"/>
      <c r="S97" s="14"/>
      <c r="T97" s="14"/>
      <c r="U97" s="14"/>
      <c r="V97" s="14"/>
      <c r="W97" s="14"/>
      <c r="X97" s="14"/>
      <c r="Y97" s="14"/>
      <c r="Z97" s="14"/>
      <c r="AA97" s="14"/>
      <c r="AB97" s="14"/>
      <c r="AC97" s="14"/>
      <c r="AD97" s="14"/>
      <c r="AE97" s="14"/>
      <c r="AF97" s="14"/>
      <c r="AG97" s="14"/>
      <c r="AH97" s="14"/>
      <c r="AI97" s="14"/>
      <c r="AJ97" s="14"/>
      <c r="AK97" s="14"/>
      <c r="AL97" s="14"/>
      <c r="AM97" s="14"/>
      <c r="AN97" s="14"/>
      <c r="AO97" s="14"/>
      <c r="AP97" s="14"/>
      <c r="AQ97" s="14"/>
      <c r="AR97" s="14"/>
      <c r="AS97" s="14"/>
      <c r="AT97" s="14"/>
      <c r="AU97" s="14"/>
      <c r="AV97" s="14"/>
      <c r="AW97" s="14"/>
      <c r="AX97" s="14"/>
      <c r="AY97" s="14"/>
      <c r="AZ97" s="14"/>
      <c r="BA97" s="14"/>
      <c r="BB97" s="14"/>
      <c r="BC97" s="14"/>
      <c r="BD97" s="14"/>
      <c r="BE97" s="83"/>
      <c r="BF97" s="83"/>
      <c r="BG97" s="83"/>
      <c r="BH97" s="83"/>
      <c r="BI97" s="83"/>
      <c r="BJ97" s="83"/>
      <c r="BK97" s="83"/>
      <c r="BL97" s="83"/>
      <c r="BM97" s="83"/>
      <c r="BN97" s="83"/>
      <c r="BO97" s="83"/>
      <c r="BP97" s="83"/>
    </row>
    <row r="98" spans="1:68">
      <c r="A98" s="9"/>
      <c r="B98" s="14"/>
      <c r="C98" s="14"/>
      <c r="D98" s="14"/>
      <c r="E98" s="14"/>
      <c r="F98" s="14"/>
      <c r="G98" s="14"/>
      <c r="H98" s="14"/>
      <c r="I98" s="14"/>
      <c r="J98" s="14"/>
      <c r="K98" s="14"/>
      <c r="L98" s="14"/>
      <c r="M98" s="14"/>
      <c r="N98" s="14"/>
      <c r="O98" s="14"/>
      <c r="P98" s="14"/>
      <c r="Q98" s="14"/>
      <c r="R98" s="14"/>
      <c r="S98" s="14"/>
      <c r="T98" s="14"/>
      <c r="U98" s="14"/>
      <c r="V98" s="14"/>
      <c r="W98" s="14"/>
      <c r="X98" s="14"/>
      <c r="Y98" s="14"/>
      <c r="Z98" s="14"/>
      <c r="AA98" s="14"/>
      <c r="AB98" s="14"/>
      <c r="AC98" s="14"/>
      <c r="AD98" s="14"/>
      <c r="AE98" s="14"/>
      <c r="AF98" s="14"/>
      <c r="AG98" s="14"/>
      <c r="AH98" s="14"/>
      <c r="AI98" s="14"/>
      <c r="AJ98" s="14"/>
      <c r="AK98" s="14"/>
      <c r="AL98" s="14"/>
      <c r="AM98" s="14"/>
      <c r="AN98" s="14"/>
      <c r="AO98" s="14"/>
      <c r="AP98" s="14"/>
      <c r="AQ98" s="14"/>
      <c r="AR98" s="14"/>
      <c r="AS98" s="14"/>
      <c r="AT98" s="14"/>
      <c r="AU98" s="14"/>
      <c r="AV98" s="14"/>
      <c r="AW98" s="14"/>
      <c r="AX98" s="14"/>
      <c r="AY98" s="14"/>
      <c r="AZ98" s="14"/>
      <c r="BA98" s="14"/>
      <c r="BB98" s="14"/>
      <c r="BC98" s="14"/>
      <c r="BD98" s="14"/>
      <c r="BE98" s="83"/>
      <c r="BF98" s="83"/>
      <c r="BG98" s="83"/>
      <c r="BH98" s="83"/>
      <c r="BI98" s="83"/>
      <c r="BJ98" s="83"/>
      <c r="BK98" s="83"/>
      <c r="BL98" s="83"/>
      <c r="BM98" s="83"/>
      <c r="BN98" s="83"/>
      <c r="BO98" s="83"/>
      <c r="BP98" s="83"/>
    </row>
    <row r="99" spans="1:68">
      <c r="B99" s="14"/>
      <c r="C99" s="14"/>
      <c r="D99" s="14"/>
      <c r="E99" s="14"/>
      <c r="F99" s="263" t="s">
        <v>14</v>
      </c>
      <c r="G99" s="263">
        <f>M3</f>
        <v>2023</v>
      </c>
      <c r="H99" s="263">
        <f t="shared" ref="H99:W99" si="8">N3</f>
        <v>2024</v>
      </c>
      <c r="I99" s="263">
        <f t="shared" si="8"/>
        <v>2025</v>
      </c>
      <c r="J99" s="263">
        <f t="shared" si="8"/>
        <v>2026</v>
      </c>
      <c r="K99" s="263">
        <f t="shared" si="8"/>
        <v>2027</v>
      </c>
      <c r="L99" s="263">
        <f t="shared" si="8"/>
        <v>2028</v>
      </c>
      <c r="M99" s="263">
        <f t="shared" si="8"/>
        <v>2029</v>
      </c>
      <c r="N99" s="263">
        <f t="shared" si="8"/>
        <v>2030</v>
      </c>
      <c r="O99" s="263">
        <f t="shared" si="8"/>
        <v>2031</v>
      </c>
      <c r="P99" s="263">
        <f t="shared" si="8"/>
        <v>2032</v>
      </c>
      <c r="Q99" s="263">
        <f t="shared" si="8"/>
        <v>2033</v>
      </c>
      <c r="R99" s="263">
        <f t="shared" si="8"/>
        <v>2034</v>
      </c>
      <c r="S99" s="263">
        <f t="shared" si="8"/>
        <v>2035</v>
      </c>
      <c r="T99" s="263">
        <f t="shared" si="8"/>
        <v>2036</v>
      </c>
      <c r="U99" s="263">
        <f t="shared" si="8"/>
        <v>2037</v>
      </c>
      <c r="V99" s="263">
        <f t="shared" si="8"/>
        <v>2038</v>
      </c>
      <c r="W99" s="263">
        <f t="shared" si="8"/>
        <v>2039</v>
      </c>
      <c r="X99" s="263">
        <f t="shared" ref="X99:AF99" si="9">AD3</f>
        <v>2040</v>
      </c>
      <c r="Y99" s="263">
        <f t="shared" si="9"/>
        <v>2041</v>
      </c>
      <c r="Z99" s="263">
        <f t="shared" si="9"/>
        <v>2042</v>
      </c>
      <c r="AA99" s="263">
        <f t="shared" si="9"/>
        <v>2043</v>
      </c>
      <c r="AB99" s="263">
        <f t="shared" si="9"/>
        <v>2044</v>
      </c>
      <c r="AC99" s="263">
        <f t="shared" si="9"/>
        <v>2045</v>
      </c>
      <c r="AD99" s="263">
        <f t="shared" si="9"/>
        <v>2046</v>
      </c>
      <c r="AE99" s="263">
        <f t="shared" si="9"/>
        <v>2047</v>
      </c>
      <c r="AF99" s="263">
        <f t="shared" si="9"/>
        <v>2048</v>
      </c>
      <c r="AG99" s="83"/>
      <c r="AH99" s="83"/>
      <c r="AI99" s="83"/>
      <c r="AJ99" s="83"/>
      <c r="AK99" s="83"/>
      <c r="AL99" s="83"/>
      <c r="AM99" s="83"/>
      <c r="AN99" s="83"/>
      <c r="AO99" s="83"/>
      <c r="AP99" s="83"/>
      <c r="AQ99" s="83"/>
      <c r="AR99" s="83"/>
      <c r="AS99" s="83"/>
      <c r="AT99" s="83"/>
      <c r="AU99" s="83"/>
      <c r="AV99" s="83"/>
      <c r="AW99" s="83"/>
      <c r="AX99" s="83"/>
      <c r="AY99" s="83"/>
      <c r="AZ99" s="83"/>
      <c r="BA99" s="83"/>
      <c r="BB99" s="83"/>
      <c r="BC99" s="83"/>
      <c r="BD99" s="83"/>
      <c r="BE99" s="83"/>
      <c r="BF99" s="83"/>
      <c r="BG99" s="83"/>
      <c r="BH99" s="83"/>
      <c r="BI99" s="83"/>
      <c r="BJ99" s="83"/>
      <c r="BK99" s="83"/>
      <c r="BL99" s="83"/>
      <c r="BM99" s="83"/>
      <c r="BN99" s="83"/>
      <c r="BO99" s="83"/>
      <c r="BP99" s="83"/>
    </row>
    <row r="100" spans="1:68">
      <c r="B100" s="14"/>
      <c r="C100" s="14"/>
      <c r="D100" s="14"/>
      <c r="E100" s="14"/>
      <c r="F100" s="263" t="s">
        <v>135</v>
      </c>
      <c r="G100" s="264">
        <f t="shared" ref="G100:AF100" si="10">M22</f>
        <v>-9.6278000000000006</v>
      </c>
      <c r="H100" s="264">
        <f t="shared" si="10"/>
        <v>-74.852665618512248</v>
      </c>
      <c r="I100" s="264">
        <f t="shared" si="10"/>
        <v>-143.34600408396014</v>
      </c>
      <c r="J100" s="264">
        <f t="shared" si="10"/>
        <v>-221.40191068909044</v>
      </c>
      <c r="K100" s="264">
        <f t="shared" si="10"/>
        <v>-14.316016678088269</v>
      </c>
      <c r="L100" s="264">
        <f t="shared" si="10"/>
        <v>-2.4305764579831179</v>
      </c>
      <c r="M100" s="264">
        <f t="shared" si="10"/>
        <v>-472.39278561449589</v>
      </c>
      <c r="N100" s="264">
        <f t="shared" si="10"/>
        <v>-4284.4333489780383</v>
      </c>
      <c r="O100" s="264">
        <f t="shared" si="10"/>
        <v>-850.89997663107852</v>
      </c>
      <c r="P100" s="264">
        <f t="shared" si="10"/>
        <v>3167.5087241104284</v>
      </c>
      <c r="Q100" s="264">
        <f t="shared" si="10"/>
        <v>3116.5480935741389</v>
      </c>
      <c r="R100" s="264">
        <f t="shared" si="10"/>
        <v>2799.8305478345637</v>
      </c>
      <c r="S100" s="264">
        <f t="shared" si="10"/>
        <v>2229.5777113024192</v>
      </c>
      <c r="T100" s="264">
        <f t="shared" si="10"/>
        <v>1880.9769526808609</v>
      </c>
      <c r="U100" s="264">
        <f t="shared" si="10"/>
        <v>1609.5884169162664</v>
      </c>
      <c r="V100" s="264">
        <f t="shared" si="10"/>
        <v>1393.1468541371353</v>
      </c>
      <c r="W100" s="264">
        <f t="shared" si="10"/>
        <v>1194.0171538477514</v>
      </c>
      <c r="X100" s="264">
        <f t="shared" si="10"/>
        <v>1033.8710896065306</v>
      </c>
      <c r="Y100" s="264">
        <f t="shared" si="10"/>
        <v>880.1218135119359</v>
      </c>
      <c r="Z100" s="264">
        <f t="shared" si="10"/>
        <v>756.43477045493592</v>
      </c>
      <c r="AA100" s="264">
        <f t="shared" si="10"/>
        <v>641.86163558537373</v>
      </c>
      <c r="AB100" s="264">
        <f t="shared" si="10"/>
        <v>548.90963218911406</v>
      </c>
      <c r="AC100" s="264">
        <f t="shared" si="10"/>
        <v>459.19699010295926</v>
      </c>
      <c r="AD100" s="264">
        <f t="shared" si="10"/>
        <v>386.37747537762345</v>
      </c>
      <c r="AE100" s="264">
        <f t="shared" si="10"/>
        <v>318.65811114598785</v>
      </c>
      <c r="AF100" s="264">
        <f t="shared" si="10"/>
        <v>263.15940951346931</v>
      </c>
      <c r="AG100" s="83"/>
      <c r="AH100" s="83"/>
      <c r="AI100" s="83"/>
      <c r="AJ100" s="83"/>
      <c r="AK100" s="83"/>
      <c r="AL100" s="83"/>
      <c r="AM100" s="83"/>
      <c r="AN100" s="83"/>
      <c r="AO100" s="83"/>
      <c r="AP100" s="83"/>
      <c r="AQ100" s="83"/>
      <c r="AR100" s="83"/>
      <c r="AS100" s="83"/>
      <c r="AT100" s="83"/>
      <c r="AU100" s="83"/>
      <c r="AV100" s="83"/>
      <c r="AW100" s="83"/>
      <c r="AX100" s="83"/>
      <c r="AY100" s="83"/>
      <c r="AZ100" s="83"/>
      <c r="BA100" s="83"/>
      <c r="BB100" s="83"/>
      <c r="BC100" s="83"/>
      <c r="BD100" s="83"/>
      <c r="BE100" s="83"/>
      <c r="BF100" s="83"/>
      <c r="BG100" s="83"/>
      <c r="BH100" s="83"/>
      <c r="BI100" s="83"/>
      <c r="BJ100" s="83"/>
      <c r="BK100" s="83"/>
      <c r="BL100" s="83"/>
      <c r="BM100" s="83"/>
      <c r="BN100" s="83"/>
      <c r="BO100" s="83"/>
      <c r="BP100" s="83"/>
    </row>
    <row r="101" spans="1:68">
      <c r="B101" s="14"/>
      <c r="C101" s="14"/>
      <c r="D101" s="14"/>
      <c r="E101" s="14"/>
      <c r="F101" s="263" t="str">
        <f>E17</f>
        <v>Royalty</v>
      </c>
      <c r="G101" s="264">
        <f t="shared" ref="G101:P103" si="11">-M17</f>
        <v>0</v>
      </c>
      <c r="H101" s="264">
        <f t="shared" si="11"/>
        <v>0</v>
      </c>
      <c r="I101" s="264">
        <f t="shared" si="11"/>
        <v>0</v>
      </c>
      <c r="J101" s="264">
        <f t="shared" si="11"/>
        <v>0</v>
      </c>
      <c r="K101" s="264">
        <f t="shared" si="11"/>
        <v>0</v>
      </c>
      <c r="L101" s="264">
        <f t="shared" si="11"/>
        <v>0</v>
      </c>
      <c r="M101" s="264">
        <f t="shared" si="11"/>
        <v>0</v>
      </c>
      <c r="N101" s="264">
        <f t="shared" si="11"/>
        <v>0</v>
      </c>
      <c r="O101" s="264">
        <f t="shared" si="11"/>
        <v>50.578646861343543</v>
      </c>
      <c r="P101" s="264">
        <f t="shared" si="11"/>
        <v>89.493072318979443</v>
      </c>
      <c r="Q101" s="264">
        <f t="shared" ref="Q101:Z103" si="12">-W17</f>
        <v>120.65289127471428</v>
      </c>
      <c r="R101" s="264">
        <f t="shared" si="12"/>
        <v>609.82396350041972</v>
      </c>
      <c r="S101" s="264">
        <f t="shared" si="12"/>
        <v>1329.7431099090877</v>
      </c>
      <c r="T101" s="264">
        <f t="shared" si="12"/>
        <v>1290.5394014110461</v>
      </c>
      <c r="U101" s="264">
        <f t="shared" si="12"/>
        <v>1114.8532739194279</v>
      </c>
      <c r="V101" s="264">
        <f t="shared" si="12"/>
        <v>964.39679267099984</v>
      </c>
      <c r="W101" s="264">
        <f t="shared" si="12"/>
        <v>832.322425878638</v>
      </c>
      <c r="X101" s="264">
        <f t="shared" si="12"/>
        <v>718.45487090355675</v>
      </c>
      <c r="Y101" s="264">
        <f t="shared" si="12"/>
        <v>614.09838245307242</v>
      </c>
      <c r="Z101" s="264">
        <f t="shared" si="12"/>
        <v>524.52279778684158</v>
      </c>
      <c r="AA101" s="264">
        <f t="shared" ref="AA101:AF103" si="13">-AG17</f>
        <v>445.70576333003038</v>
      </c>
      <c r="AB101" s="264">
        <f t="shared" si="13"/>
        <v>377.54323415105779</v>
      </c>
      <c r="AC101" s="264">
        <f t="shared" si="13"/>
        <v>314.92740795962493</v>
      </c>
      <c r="AD101" s="264">
        <f t="shared" si="13"/>
        <v>260.95189185328769</v>
      </c>
      <c r="AE101" s="264">
        <f t="shared" si="13"/>
        <v>213.25331588772886</v>
      </c>
      <c r="AF101" s="264">
        <f t="shared" si="13"/>
        <v>171.76934438839942</v>
      </c>
      <c r="AG101" s="83"/>
      <c r="AH101" s="83"/>
      <c r="AI101" s="83"/>
      <c r="AJ101" s="83"/>
      <c r="AK101" s="83"/>
      <c r="AL101" s="83"/>
      <c r="AM101" s="83"/>
      <c r="AN101" s="83"/>
      <c r="AO101" s="83"/>
      <c r="AP101" s="83"/>
      <c r="AQ101" s="83"/>
      <c r="AR101" s="83"/>
      <c r="AS101" s="83"/>
      <c r="AT101" s="83"/>
      <c r="AU101" s="83"/>
      <c r="AV101" s="83"/>
      <c r="AW101" s="83"/>
      <c r="AX101" s="83"/>
      <c r="AY101" s="83"/>
      <c r="AZ101" s="83"/>
      <c r="BA101" s="83"/>
      <c r="BB101" s="83"/>
      <c r="BC101" s="83"/>
      <c r="BD101" s="83"/>
      <c r="BE101" s="83"/>
      <c r="BF101" s="83"/>
      <c r="BG101" s="83"/>
      <c r="BH101" s="83"/>
      <c r="BI101" s="83"/>
      <c r="BJ101" s="83"/>
      <c r="BK101" s="83"/>
      <c r="BL101" s="83"/>
      <c r="BM101" s="83"/>
      <c r="BN101" s="83"/>
      <c r="BO101" s="83"/>
      <c r="BP101" s="83"/>
    </row>
    <row r="102" spans="1:68">
      <c r="B102" s="14"/>
      <c r="C102" s="14"/>
      <c r="D102" s="14"/>
      <c r="E102" s="14"/>
      <c r="F102" s="263" t="str">
        <f>E18</f>
        <v>Provincial Income Tax</v>
      </c>
      <c r="G102" s="264">
        <f t="shared" si="11"/>
        <v>0</v>
      </c>
      <c r="H102" s="264">
        <f t="shared" si="11"/>
        <v>0</v>
      </c>
      <c r="I102" s="264">
        <f t="shared" si="11"/>
        <v>0</v>
      </c>
      <c r="J102" s="264">
        <f t="shared" si="11"/>
        <v>0</v>
      </c>
      <c r="K102" s="264">
        <f t="shared" si="11"/>
        <v>0</v>
      </c>
      <c r="L102" s="264">
        <f t="shared" si="11"/>
        <v>0</v>
      </c>
      <c r="M102" s="264">
        <f t="shared" si="11"/>
        <v>0</v>
      </c>
      <c r="N102" s="264">
        <f t="shared" si="11"/>
        <v>0</v>
      </c>
      <c r="O102" s="264">
        <f t="shared" si="11"/>
        <v>59.480887453873827</v>
      </c>
      <c r="P102" s="264">
        <f t="shared" si="11"/>
        <v>313.99787395455098</v>
      </c>
      <c r="Q102" s="264">
        <f t="shared" si="12"/>
        <v>385.34213376007438</v>
      </c>
      <c r="R102" s="264">
        <f t="shared" si="12"/>
        <v>378.76406047987467</v>
      </c>
      <c r="S102" s="264">
        <f t="shared" si="12"/>
        <v>311.4849182747563</v>
      </c>
      <c r="T102" s="264">
        <f t="shared" si="12"/>
        <v>273.03434110937957</v>
      </c>
      <c r="U102" s="264">
        <f t="shared" si="12"/>
        <v>244.88651585260595</v>
      </c>
      <c r="V102" s="264">
        <f t="shared" si="12"/>
        <v>218.68552637979252</v>
      </c>
      <c r="W102" s="264">
        <f t="shared" si="12"/>
        <v>193.86627729247425</v>
      </c>
      <c r="X102" s="264">
        <f t="shared" si="12"/>
        <v>171.28286424357981</v>
      </c>
      <c r="Y102" s="264">
        <f t="shared" si="12"/>
        <v>149.32690208943083</v>
      </c>
      <c r="Z102" s="264">
        <f t="shared" si="12"/>
        <v>129.86316635951107</v>
      </c>
      <c r="AA102" s="264">
        <f t="shared" si="13"/>
        <v>112.20038480016592</v>
      </c>
      <c r="AB102" s="264">
        <f t="shared" si="13"/>
        <v>96.576495694286734</v>
      </c>
      <c r="AC102" s="264">
        <f t="shared" si="13"/>
        <v>81.853350873432603</v>
      </c>
      <c r="AD102" s="264">
        <f t="shared" si="13"/>
        <v>68.983719278124113</v>
      </c>
      <c r="AE102" s="264">
        <f t="shared" si="13"/>
        <v>57.456868797593323</v>
      </c>
      <c r="AF102" s="264">
        <f t="shared" si="13"/>
        <v>47.335312929286268</v>
      </c>
      <c r="AG102" s="83"/>
      <c r="AH102" s="83"/>
      <c r="AI102" s="83"/>
      <c r="AJ102" s="83"/>
      <c r="AK102" s="83"/>
      <c r="AL102" s="83"/>
      <c r="AM102" s="83"/>
      <c r="AN102" s="83"/>
      <c r="AO102" s="83"/>
      <c r="AP102" s="83"/>
      <c r="AQ102" s="83"/>
      <c r="AR102" s="83"/>
      <c r="AS102" s="83"/>
      <c r="AT102" s="83"/>
      <c r="AU102" s="83"/>
      <c r="AV102" s="83"/>
      <c r="AW102" s="83"/>
      <c r="AX102" s="83"/>
      <c r="AY102" s="83"/>
      <c r="AZ102" s="83"/>
      <c r="BA102" s="83"/>
      <c r="BB102" s="83"/>
      <c r="BC102" s="83"/>
      <c r="BD102" s="83"/>
      <c r="BE102" s="83"/>
      <c r="BF102" s="83"/>
      <c r="BG102" s="83"/>
      <c r="BH102" s="83"/>
      <c r="BI102" s="83"/>
      <c r="BJ102" s="83"/>
      <c r="BK102" s="83"/>
      <c r="BL102" s="83"/>
      <c r="BM102" s="83"/>
      <c r="BN102" s="83"/>
      <c r="BO102" s="83"/>
      <c r="BP102" s="83"/>
    </row>
    <row r="103" spans="1:68">
      <c r="B103" s="14"/>
      <c r="C103" s="14"/>
      <c r="D103" s="14"/>
      <c r="E103" s="14"/>
      <c r="F103" s="263" t="str">
        <f>E19</f>
        <v>Federal Income Tax</v>
      </c>
      <c r="G103" s="264">
        <f t="shared" si="11"/>
        <v>0</v>
      </c>
      <c r="H103" s="264">
        <f t="shared" si="11"/>
        <v>0</v>
      </c>
      <c r="I103" s="264">
        <f t="shared" si="11"/>
        <v>0</v>
      </c>
      <c r="J103" s="264">
        <f t="shared" si="11"/>
        <v>0</v>
      </c>
      <c r="K103" s="264">
        <f t="shared" si="11"/>
        <v>0</v>
      </c>
      <c r="L103" s="264">
        <f t="shared" si="11"/>
        <v>0</v>
      </c>
      <c r="M103" s="264">
        <f t="shared" si="11"/>
        <v>0</v>
      </c>
      <c r="N103" s="264">
        <f t="shared" si="11"/>
        <v>0</v>
      </c>
      <c r="O103" s="264">
        <f t="shared" si="11"/>
        <v>63.729522272007664</v>
      </c>
      <c r="P103" s="264">
        <f t="shared" si="11"/>
        <v>418.52461272649538</v>
      </c>
      <c r="Q103" s="264">
        <f t="shared" si="12"/>
        <v>474.44031128861559</v>
      </c>
      <c r="R103" s="264">
        <f t="shared" si="12"/>
        <v>431.47436097961281</v>
      </c>
      <c r="S103" s="264">
        <f t="shared" si="12"/>
        <v>352.97563457204922</v>
      </c>
      <c r="T103" s="264">
        <f t="shared" si="12"/>
        <v>291.57470436759462</v>
      </c>
      <c r="U103" s="264">
        <f t="shared" si="12"/>
        <v>261.65684258345095</v>
      </c>
      <c r="V103" s="264">
        <f t="shared" si="12"/>
        <v>222.21966953920705</v>
      </c>
      <c r="W103" s="264">
        <f t="shared" si="12"/>
        <v>198.64917984115155</v>
      </c>
      <c r="X103" s="264">
        <f t="shared" si="12"/>
        <v>168.06003092829633</v>
      </c>
      <c r="Y103" s="264">
        <f t="shared" si="12"/>
        <v>148.40011666773572</v>
      </c>
      <c r="Z103" s="264">
        <f t="shared" si="12"/>
        <v>123.95025695077251</v>
      </c>
      <c r="AA103" s="264">
        <f t="shared" si="13"/>
        <v>108.82306060293578</v>
      </c>
      <c r="AB103" s="264">
        <f t="shared" si="13"/>
        <v>90.060509771644732</v>
      </c>
      <c r="AC103" s="264">
        <f t="shared" si="13"/>
        <v>77.63928851021663</v>
      </c>
      <c r="AD103" s="264">
        <f t="shared" si="13"/>
        <v>62.71264583913171</v>
      </c>
      <c r="AE103" s="264">
        <f t="shared" si="13"/>
        <v>53.162069385420459</v>
      </c>
      <c r="AF103" s="264">
        <f t="shared" si="13"/>
        <v>41.677559922993019</v>
      </c>
      <c r="AG103" s="83"/>
      <c r="AH103" s="83"/>
      <c r="AI103" s="83"/>
      <c r="AJ103" s="83"/>
      <c r="AK103" s="83"/>
      <c r="AL103" s="83"/>
      <c r="AM103" s="83"/>
      <c r="AN103" s="83"/>
      <c r="AO103" s="83"/>
      <c r="AP103" s="83"/>
      <c r="AQ103" s="83"/>
      <c r="AR103" s="83"/>
      <c r="AS103" s="83"/>
      <c r="AT103" s="83"/>
      <c r="AU103" s="83"/>
      <c r="AV103" s="83"/>
      <c r="AW103" s="83"/>
      <c r="AX103" s="83"/>
      <c r="AY103" s="83"/>
      <c r="AZ103" s="83"/>
      <c r="BA103" s="83"/>
      <c r="BB103" s="83"/>
      <c r="BC103" s="83"/>
      <c r="BD103" s="83"/>
      <c r="BE103" s="83"/>
      <c r="BF103" s="83"/>
      <c r="BG103" s="83"/>
      <c r="BH103" s="83"/>
      <c r="BI103" s="83"/>
      <c r="BJ103" s="83"/>
      <c r="BK103" s="83"/>
      <c r="BL103" s="83"/>
      <c r="BM103" s="83"/>
      <c r="BN103" s="83"/>
      <c r="BO103" s="83"/>
      <c r="BP103" s="83"/>
    </row>
  </sheetData>
  <sheetProtection algorithmName="SHA-512" hashValue="BiAMCaIAj+J/UqGPTwEHuRkz8rNTCLwYwXBu1spseh/Gm6Uzn1BMyTaKZoqG2jSPTa37ZBTgOhv44MCCpZLNFA==" saltValue="KgXqs0ee47gYevnFENmFWQ==" spinCount="100000" sheet="1" objects="1" scenarios="1"/>
  <mergeCells count="12">
    <mergeCell ref="B35:C35"/>
    <mergeCell ref="K2:K3"/>
    <mergeCell ref="F2:F3"/>
    <mergeCell ref="G2:G3"/>
    <mergeCell ref="H2:H3"/>
    <mergeCell ref="I2:I3"/>
    <mergeCell ref="J2:J3"/>
    <mergeCell ref="B8:C8"/>
    <mergeCell ref="B2:C2"/>
    <mergeCell ref="B15:C15"/>
    <mergeCell ref="B20:C20"/>
    <mergeCell ref="B31:C31"/>
  </mergeCells>
  <conditionalFormatting sqref="B36:C42">
    <cfRule type="expression" dxfId="55" priority="4">
      <formula>$B36=""</formula>
    </cfRule>
  </conditionalFormatting>
  <conditionalFormatting sqref="G4:H5 J4:AZ5 R25:R26">
    <cfRule type="cellIs" dxfId="52" priority="23" stopIfTrue="1" operator="greaterThan">
      <formula>0</formula>
    </cfRule>
  </conditionalFormatting>
  <conditionalFormatting sqref="G6:H22">
    <cfRule type="cellIs" dxfId="51" priority="7" stopIfTrue="1" operator="greaterThan">
      <formula>0</formula>
    </cfRule>
    <cfRule type="cellIs" dxfId="50" priority="8" stopIfTrue="1" operator="lessThan">
      <formula>0</formula>
    </cfRule>
  </conditionalFormatting>
  <conditionalFormatting sqref="J6:AZ22">
    <cfRule type="cellIs" dxfId="49" priority="5" stopIfTrue="1" operator="greaterThan">
      <formula>0</formula>
    </cfRule>
    <cfRule type="cellIs" dxfId="48" priority="6" stopIfTrue="1" operator="lessThan">
      <formula>0</formula>
    </cfRule>
  </conditionalFormatting>
  <conditionalFormatting sqref="L23:AZ23">
    <cfRule type="cellIs" dxfId="47" priority="13" stopIfTrue="1" operator="greaterThan">
      <formula>0</formula>
    </cfRule>
    <cfRule type="cellIs" dxfId="46" priority="14" stopIfTrue="1" operator="lessThan">
      <formula>0</formula>
    </cfRule>
  </conditionalFormatting>
  <conditionalFormatting sqref="R27:R41">
    <cfRule type="cellIs" dxfId="45" priority="21" stopIfTrue="1" operator="greaterThan">
      <formula>0</formula>
    </cfRule>
    <cfRule type="cellIs" dxfId="44" priority="22" stopIfTrue="1" operator="lessThan">
      <formula>0</formula>
    </cfRule>
  </conditionalFormatting>
  <dataValidations disablePrompts="1" count="1">
    <dataValidation type="whole" allowBlank="1" showInputMessage="1" showErrorMessage="1" sqref="N54:AD98 C71:M98" xr:uid="{00000000-0002-0000-0800-000000000000}">
      <formula1>0</formula1>
      <formula2>#REF!</formula2>
    </dataValidation>
  </dataValidations>
  <hyperlinks>
    <hyperlink ref="E1" location="Guide" display="Guide" xr:uid="{00000000-0004-0000-0800-000000000000}"/>
    <hyperlink ref="E2" location="Input" display="Input" xr:uid="{00000000-0004-0000-0800-000001000000}"/>
  </hyperlinks>
  <pageMargins left="0.7" right="0.7" top="0.75" bottom="0.75" header="0.3" footer="0.3"/>
  <pageSetup paperSize="9" scale="86" fitToWidth="0" orientation="landscape" r:id="rId1"/>
  <headerFooter>
    <oddFooter>&amp;LNova Scotia Exploration Economics Model&amp;Rwww.indeva.com</oddFooter>
  </headerFooter>
  <colBreaks count="2" manualBreakCount="2">
    <brk id="10" max="34" man="1"/>
    <brk id="25" max="34" man="1"/>
  </colBreaks>
  <drawing r:id="rId2"/>
  <extLst>
    <ext xmlns:x14="http://schemas.microsoft.com/office/spreadsheetml/2009/9/main" uri="{78C0D931-6437-407d-A8EE-F0AAD7539E65}">
      <x14:conditionalFormattings>
        <x14:conditionalFormatting xmlns:xm="http://schemas.microsoft.com/office/excel/2006/main">
          <x14:cfRule type="expression" priority="72" id="{9268D550-BBD7-4D2D-98D0-C8892038296F}">
            <xm:f>Input!$A$39=""</xm:f>
            <x14:dxf>
              <fill>
                <patternFill>
                  <bgColor theme="2"/>
                </patternFill>
              </fill>
              <border>
                <left/>
                <right/>
                <top style="thin">
                  <color auto="1"/>
                </top>
                <bottom/>
              </border>
            </x14:dxf>
          </x14:cfRule>
          <xm:sqref>B35</xm:sqref>
        </x14:conditionalFormatting>
        <x14:conditionalFormatting xmlns:xm="http://schemas.microsoft.com/office/excel/2006/main">
          <x14:cfRule type="expression" priority="102" id="{7F86B188-3891-4952-8757-20C9A11A5007}">
            <xm:f>Lists!$N46=Lists!P$54</xm:f>
            <x14:dxf>
              <fill>
                <patternFill>
                  <bgColor theme="2"/>
                </patternFill>
              </fill>
              <border>
                <left style="thin">
                  <color auto="1"/>
                </left>
                <right style="thin">
                  <color auto="1"/>
                </right>
                <top style="thin">
                  <color auto="1"/>
                </top>
                <bottom style="thin">
                  <color auto="1"/>
                </bottom>
                <vertical/>
                <horizontal/>
              </border>
            </x14:dxf>
          </x14:cfRule>
          <xm:sqref>B36:B41</xm:sqref>
        </x14:conditionalFormatting>
        <x14:conditionalFormatting xmlns:xm="http://schemas.microsoft.com/office/excel/2006/main">
          <x14:cfRule type="expression" priority="103" id="{7F86B188-3891-4952-8757-20C9A11A5007}">
            <xm:f>Lists!$N53=Lists!P$54</xm:f>
            <x14:dxf>
              <fill>
                <patternFill>
                  <bgColor theme="2"/>
                </patternFill>
              </fill>
              <border>
                <left style="thin">
                  <color auto="1"/>
                </left>
                <right style="thin">
                  <color auto="1"/>
                </right>
                <top style="thin">
                  <color auto="1"/>
                </top>
                <bottom style="thin">
                  <color auto="1"/>
                </bottom>
                <vertical/>
                <horizontal/>
              </border>
            </x14:dxf>
          </x14:cfRule>
          <xm:sqref>B42</xm:sqref>
        </x14:conditionalFormatting>
        <x14:conditionalFormatting xmlns:xm="http://schemas.microsoft.com/office/excel/2006/main">
          <x14:cfRule type="expression" priority="104" id="{C673B7E9-3545-400D-A20D-BB86AB039DD1}">
            <xm:f>Lists!$N46=Lists!P$54</xm:f>
            <x14:dxf>
              <fill>
                <patternFill>
                  <bgColor theme="2"/>
                </patternFill>
              </fill>
              <border>
                <left style="thin">
                  <color auto="1"/>
                </left>
                <right style="thin">
                  <color auto="1"/>
                </right>
                <top style="thin">
                  <color auto="1"/>
                </top>
                <bottom style="thin">
                  <color auto="1"/>
                </bottom>
                <vertical/>
                <horizontal/>
              </border>
            </x14:dxf>
          </x14:cfRule>
          <xm:sqref>C36:C41</xm:sqref>
        </x14:conditionalFormatting>
        <x14:conditionalFormatting xmlns:xm="http://schemas.microsoft.com/office/excel/2006/main">
          <x14:cfRule type="expression" priority="105" id="{C673B7E9-3545-400D-A20D-BB86AB039DD1}">
            <xm:f>Lists!$N53=Lists!P$54</xm:f>
            <x14:dxf>
              <fill>
                <patternFill>
                  <bgColor theme="2"/>
                </patternFill>
              </fill>
              <border>
                <left style="thin">
                  <color auto="1"/>
                </left>
                <right style="thin">
                  <color auto="1"/>
                </right>
                <top style="thin">
                  <color auto="1"/>
                </top>
                <bottom style="thin">
                  <color auto="1"/>
                </bottom>
                <vertical/>
                <horizontal/>
              </border>
            </x14:dxf>
          </x14:cfRule>
          <xm:sqref>C42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4"/>
  <dimension ref="A1:AC107"/>
  <sheetViews>
    <sheetView showGridLines="0" zoomScale="75" zoomScaleNormal="75" workbookViewId="0"/>
  </sheetViews>
  <sheetFormatPr defaultRowHeight="15"/>
  <cols>
    <col min="1" max="1" width="21.140625" customWidth="1"/>
    <col min="2" max="2" width="12.42578125" customWidth="1"/>
    <col min="4" max="4" width="6.85546875" customWidth="1"/>
    <col min="15" max="15" width="10.140625" bestFit="1" customWidth="1"/>
    <col min="26" max="26" width="18.5703125" customWidth="1"/>
    <col min="27" max="27" width="12" customWidth="1"/>
  </cols>
  <sheetData>
    <row r="1" spans="1:29">
      <c r="A1" s="29" t="s">
        <v>563</v>
      </c>
      <c r="B1" s="1"/>
      <c r="C1" s="1"/>
      <c r="D1" s="1"/>
      <c r="E1" s="1"/>
      <c r="F1" s="1"/>
      <c r="G1" s="1"/>
      <c r="H1" s="1"/>
      <c r="I1" s="1"/>
      <c r="J1" s="1"/>
      <c r="K1" s="1"/>
      <c r="L1" s="1"/>
      <c r="M1" s="1"/>
      <c r="N1" s="1"/>
      <c r="O1" s="1"/>
      <c r="P1" s="1"/>
      <c r="Q1" s="1"/>
      <c r="R1" s="1"/>
      <c r="S1" s="1"/>
      <c r="T1" s="1"/>
      <c r="U1" s="1"/>
      <c r="V1" s="1"/>
      <c r="W1" s="1"/>
      <c r="X1" s="1"/>
      <c r="Y1" s="1"/>
      <c r="Z1" s="1"/>
      <c r="AA1" s="1"/>
      <c r="AB1" s="1"/>
      <c r="AC1" s="1"/>
    </row>
    <row r="2" spans="1:29">
      <c r="A2" s="1" t="s">
        <v>564</v>
      </c>
      <c r="B2" s="1"/>
      <c r="C2" s="1"/>
      <c r="D2" s="1"/>
      <c r="E2" s="1"/>
      <c r="F2" s="1"/>
      <c r="G2" s="1"/>
      <c r="H2" s="1"/>
      <c r="I2" s="1"/>
      <c r="J2" s="1"/>
      <c r="K2" s="1"/>
      <c r="L2" s="1"/>
      <c r="M2" s="1"/>
      <c r="N2" s="1"/>
      <c r="O2" s="1"/>
      <c r="P2" s="1"/>
      <c r="Q2" s="1"/>
      <c r="R2" s="1"/>
      <c r="S2" s="1"/>
      <c r="T2" s="1"/>
      <c r="U2" s="1"/>
      <c r="V2" s="1"/>
      <c r="W2" s="1"/>
      <c r="X2" s="1"/>
      <c r="Y2" s="1"/>
      <c r="Z2" s="1"/>
      <c r="AA2" s="1"/>
      <c r="AB2" s="1"/>
      <c r="AC2" s="1"/>
    </row>
    <row r="3" spans="1:29">
      <c r="A3" s="1"/>
      <c r="B3" s="1"/>
      <c r="C3" s="1"/>
      <c r="D3" s="1"/>
      <c r="E3" s="1"/>
      <c r="F3" s="1"/>
      <c r="G3" s="1"/>
      <c r="H3" s="1"/>
      <c r="I3" s="1"/>
      <c r="J3" s="1"/>
      <c r="K3" s="1"/>
      <c r="L3" s="1"/>
      <c r="M3" s="1"/>
      <c r="N3" s="1"/>
      <c r="O3" s="1"/>
      <c r="P3" s="1"/>
      <c r="Q3" s="1"/>
      <c r="R3" s="1"/>
      <c r="S3" s="1"/>
      <c r="T3" s="1"/>
      <c r="U3" s="1"/>
      <c r="V3" s="1"/>
      <c r="W3" s="1"/>
      <c r="X3" s="1"/>
      <c r="Y3" s="1"/>
      <c r="Z3" s="1"/>
      <c r="AA3" s="1"/>
      <c r="AB3" s="1"/>
      <c r="AC3" s="1"/>
    </row>
    <row r="4" spans="1:29">
      <c r="A4" s="29" t="s">
        <v>1011</v>
      </c>
      <c r="B4" s="1"/>
      <c r="C4" s="1"/>
      <c r="D4" s="1"/>
      <c r="E4" s="1"/>
      <c r="F4" s="1"/>
      <c r="G4" s="1"/>
      <c r="H4" s="1"/>
      <c r="I4" s="1"/>
      <c r="J4" s="1"/>
      <c r="K4" s="1"/>
      <c r="L4" s="1"/>
      <c r="M4" s="1"/>
      <c r="N4" s="1"/>
      <c r="O4" s="1"/>
      <c r="P4" s="1"/>
      <c r="Q4" s="1"/>
      <c r="R4" s="1"/>
      <c r="S4" s="1"/>
      <c r="T4" s="1"/>
      <c r="U4" s="1"/>
      <c r="V4" s="1"/>
      <c r="W4" s="1"/>
      <c r="X4" s="1"/>
      <c r="Y4" s="1"/>
      <c r="Z4" s="1"/>
      <c r="AA4" s="1"/>
      <c r="AB4" s="1"/>
      <c r="AC4" s="1"/>
    </row>
    <row r="5" spans="1:29">
      <c r="A5" s="1" t="s">
        <v>1012</v>
      </c>
      <c r="B5" s="1"/>
      <c r="C5" s="1"/>
      <c r="D5" s="1"/>
      <c r="E5" s="1"/>
      <c r="F5" s="1"/>
      <c r="G5" s="1"/>
      <c r="H5" s="1"/>
      <c r="I5" s="1"/>
      <c r="J5" s="1"/>
      <c r="K5" s="1"/>
      <c r="L5" s="1"/>
      <c r="M5" s="1"/>
      <c r="N5" s="1"/>
      <c r="O5" s="1"/>
      <c r="P5" s="1"/>
      <c r="Q5" s="1"/>
      <c r="R5" s="1"/>
      <c r="S5" s="1"/>
      <c r="T5" s="1"/>
      <c r="U5" s="1"/>
      <c r="V5" s="1"/>
      <c r="W5" s="1"/>
      <c r="X5" s="1"/>
      <c r="Y5" s="1"/>
      <c r="Z5" s="1"/>
      <c r="AA5" s="1"/>
      <c r="AB5" s="1"/>
      <c r="AC5" s="1"/>
    </row>
    <row r="6" spans="1:29">
      <c r="A6" s="1" t="s">
        <v>1013</v>
      </c>
      <c r="B6" s="1"/>
      <c r="C6" s="1"/>
      <c r="D6" s="1"/>
      <c r="E6" s="1"/>
      <c r="F6" s="1"/>
      <c r="G6" s="1"/>
      <c r="H6" s="1"/>
      <c r="I6" s="1"/>
      <c r="J6" s="1"/>
      <c r="K6" s="1"/>
      <c r="L6" s="1"/>
      <c r="M6" s="1"/>
      <c r="N6" s="1"/>
      <c r="O6" s="1"/>
      <c r="P6" s="1"/>
      <c r="Q6" s="1"/>
      <c r="R6" s="1"/>
      <c r="S6" s="1"/>
      <c r="T6" s="1"/>
      <c r="U6" s="1"/>
      <c r="V6" s="1"/>
      <c r="W6" s="1"/>
      <c r="X6" s="1"/>
      <c r="Y6" s="1"/>
      <c r="Z6" s="1"/>
      <c r="AA6" s="1"/>
      <c r="AB6" s="1"/>
      <c r="AC6" s="1"/>
    </row>
    <row r="7" spans="1:29">
      <c r="A7" s="1"/>
      <c r="B7" s="1"/>
      <c r="C7" s="1"/>
      <c r="D7" s="1"/>
      <c r="E7" s="1"/>
      <c r="F7" s="1"/>
      <c r="G7" s="1"/>
      <c r="H7" s="1"/>
      <c r="I7" s="1"/>
      <c r="J7" s="1"/>
      <c r="K7" s="1"/>
      <c r="L7" s="1"/>
      <c r="M7" s="1"/>
      <c r="N7" s="1"/>
      <c r="O7" s="1"/>
      <c r="P7" s="1"/>
      <c r="Q7" s="1"/>
      <c r="R7" s="1"/>
      <c r="S7" s="1"/>
      <c r="T7" s="1"/>
      <c r="U7" s="1"/>
      <c r="V7" s="1"/>
      <c r="W7" s="1"/>
      <c r="X7" s="1"/>
      <c r="Y7" s="1"/>
      <c r="Z7" s="1"/>
      <c r="AA7" s="1"/>
      <c r="AB7" s="1"/>
      <c r="AC7" s="1"/>
    </row>
    <row r="8" spans="1:29">
      <c r="A8" s="41" t="s">
        <v>123</v>
      </c>
      <c r="B8" s="1"/>
      <c r="C8" s="1"/>
      <c r="D8" s="1"/>
      <c r="E8" s="1"/>
      <c r="F8" s="1"/>
      <c r="G8" s="1"/>
      <c r="H8" s="1"/>
      <c r="I8" s="1"/>
      <c r="J8" s="1"/>
      <c r="K8" s="1"/>
      <c r="L8" s="1"/>
      <c r="M8" s="1"/>
      <c r="N8" s="1"/>
      <c r="O8" s="1"/>
      <c r="P8" s="1"/>
      <c r="Q8" s="1"/>
      <c r="R8" s="1"/>
      <c r="S8" s="1"/>
      <c r="T8" s="1"/>
      <c r="U8" s="1"/>
      <c r="V8" s="1"/>
      <c r="W8" s="1"/>
      <c r="X8" s="1"/>
      <c r="Y8" s="1"/>
      <c r="Z8" s="1"/>
      <c r="AA8" s="1"/>
      <c r="AB8" s="1"/>
      <c r="AC8" s="1"/>
    </row>
    <row r="9" spans="1:29">
      <c r="A9" s="1" t="s">
        <v>78</v>
      </c>
      <c r="B9" s="1"/>
      <c r="C9" s="1"/>
      <c r="D9" s="1"/>
      <c r="E9" s="1"/>
      <c r="F9" s="1"/>
      <c r="G9" s="1"/>
      <c r="H9" s="1"/>
      <c r="I9" s="1"/>
      <c r="J9" s="1"/>
      <c r="K9" s="1"/>
      <c r="L9" s="1"/>
      <c r="M9" s="1" t="s">
        <v>1112</v>
      </c>
      <c r="N9" s="495"/>
      <c r="O9" s="1">
        <f ca="1">YEAR(NOW())</f>
        <v>2026</v>
      </c>
      <c r="P9" s="1"/>
      <c r="Q9" s="1"/>
      <c r="R9" s="1"/>
      <c r="S9" s="1"/>
      <c r="T9" s="1"/>
      <c r="U9" s="1"/>
      <c r="V9" s="1"/>
      <c r="W9" s="1"/>
      <c r="X9" s="1"/>
      <c r="Y9" s="1"/>
      <c r="Z9" s="1"/>
      <c r="AA9" s="1"/>
      <c r="AB9" s="1"/>
      <c r="AC9" s="1"/>
    </row>
    <row r="10" spans="1:29">
      <c r="A10" s="1" t="s">
        <v>86</v>
      </c>
      <c r="B10" s="1"/>
      <c r="C10" s="1"/>
      <c r="D10" s="1"/>
      <c r="E10" s="1"/>
      <c r="F10" s="1"/>
      <c r="G10" s="1"/>
      <c r="H10" s="1"/>
      <c r="I10" s="1"/>
      <c r="J10" s="1"/>
      <c r="K10" s="1"/>
      <c r="L10" s="1"/>
      <c r="M10" s="1" t="s">
        <v>1109</v>
      </c>
      <c r="N10" s="1"/>
      <c r="O10" s="487">
        <f>DATE('Economic Assumptions'!A12,1,1)</f>
        <v>43831</v>
      </c>
      <c r="P10" s="1"/>
      <c r="Q10" s="1"/>
      <c r="R10" s="1"/>
      <c r="S10" s="1"/>
      <c r="T10" s="1"/>
      <c r="U10" s="1"/>
      <c r="V10" s="1"/>
      <c r="W10" s="1"/>
      <c r="X10" s="1"/>
      <c r="Y10" s="1"/>
      <c r="Z10" s="1"/>
      <c r="AA10" s="1"/>
      <c r="AB10" s="1"/>
      <c r="AC10" s="1"/>
    </row>
    <row r="11" spans="1:29">
      <c r="A11" s="1" t="s">
        <v>87</v>
      </c>
      <c r="B11" s="1"/>
      <c r="C11" s="1"/>
      <c r="D11" s="1"/>
      <c r="E11" s="1"/>
      <c r="F11" s="1"/>
      <c r="G11" s="1"/>
      <c r="H11" s="1"/>
      <c r="I11" s="1"/>
      <c r="J11" s="1"/>
      <c r="K11" s="1"/>
      <c r="L11" s="1"/>
      <c r="M11" s="1" t="s">
        <v>1110</v>
      </c>
      <c r="N11" s="1"/>
      <c r="O11" s="487">
        <f>EDATE(O10,240)</f>
        <v>51136</v>
      </c>
      <c r="P11" s="1"/>
      <c r="Q11" s="1"/>
      <c r="R11" s="1"/>
      <c r="S11" s="1"/>
      <c r="T11" s="1"/>
      <c r="U11" s="1"/>
      <c r="V11" s="1"/>
      <c r="W11" s="1"/>
      <c r="X11" s="1"/>
      <c r="Y11" s="1"/>
      <c r="Z11" s="1"/>
      <c r="AA11" s="1"/>
      <c r="AB11" s="1"/>
      <c r="AC11" s="1"/>
    </row>
    <row r="12" spans="1:29">
      <c r="A12" s="1" t="s">
        <v>88</v>
      </c>
      <c r="B12" s="1"/>
      <c r="C12" s="1"/>
      <c r="D12" s="1"/>
      <c r="E12" s="1"/>
      <c r="F12" s="1"/>
      <c r="G12" s="1"/>
      <c r="H12" s="1"/>
      <c r="I12" s="1"/>
      <c r="J12" s="1"/>
      <c r="K12" s="1"/>
      <c r="L12" s="1"/>
      <c r="M12" s="1"/>
      <c r="N12" s="1"/>
      <c r="O12" s="1"/>
      <c r="P12" s="1"/>
      <c r="Q12" s="1"/>
      <c r="R12" s="1"/>
      <c r="S12" s="1"/>
      <c r="T12" s="1"/>
      <c r="U12" s="1"/>
      <c r="V12" s="1"/>
      <c r="W12" s="1"/>
      <c r="X12" s="1"/>
      <c r="Y12" s="1"/>
      <c r="Z12" s="1"/>
      <c r="AA12" s="1"/>
      <c r="AB12" s="1"/>
      <c r="AC12" s="1"/>
    </row>
    <row r="13" spans="1:29">
      <c r="A13" s="1" t="s">
        <v>222</v>
      </c>
      <c r="B13" s="1"/>
      <c r="C13" s="1"/>
      <c r="D13" s="1"/>
      <c r="E13" s="1"/>
      <c r="F13" s="1"/>
      <c r="G13" s="1"/>
      <c r="H13" s="1"/>
      <c r="I13" s="1"/>
      <c r="J13" s="1"/>
      <c r="K13" s="1"/>
      <c r="L13" s="1"/>
      <c r="M13" s="1"/>
      <c r="N13" s="1"/>
      <c r="O13" s="1"/>
      <c r="P13" s="1"/>
      <c r="Q13" s="1"/>
      <c r="R13" s="1"/>
      <c r="S13" s="1"/>
      <c r="T13" s="1"/>
      <c r="U13" s="1"/>
      <c r="V13" s="1"/>
      <c r="W13" s="1"/>
      <c r="X13" s="1"/>
      <c r="Y13" s="1"/>
      <c r="Z13" s="1"/>
      <c r="AA13" s="1"/>
      <c r="AB13" s="1"/>
      <c r="AC13" s="1"/>
    </row>
    <row r="14" spans="1:29">
      <c r="A14" s="1"/>
      <c r="B14" s="1"/>
      <c r="C14" s="1"/>
      <c r="D14" s="1"/>
      <c r="E14" s="1"/>
      <c r="F14" s="1"/>
      <c r="G14" s="1"/>
      <c r="H14" s="1"/>
      <c r="I14" s="1"/>
      <c r="J14" s="1"/>
      <c r="K14" s="1"/>
      <c r="L14" s="1"/>
      <c r="M14" s="1"/>
      <c r="N14" s="1"/>
      <c r="O14" s="1"/>
      <c r="P14" s="1"/>
      <c r="Q14" s="1"/>
      <c r="R14" s="1"/>
      <c r="S14" s="1"/>
      <c r="T14" s="1"/>
      <c r="U14" s="1"/>
      <c r="V14" s="1"/>
      <c r="W14" s="1"/>
      <c r="X14" s="1"/>
      <c r="Y14" s="1"/>
      <c r="Z14" s="1"/>
      <c r="AA14" s="1"/>
      <c r="AB14" s="1"/>
      <c r="AC14" s="1"/>
    </row>
    <row r="15" spans="1:29">
      <c r="A15" s="1"/>
      <c r="B15" s="1"/>
      <c r="C15" s="1"/>
      <c r="D15" s="1"/>
      <c r="E15" s="1"/>
      <c r="F15" s="1"/>
      <c r="G15" s="1"/>
      <c r="H15" s="1"/>
      <c r="I15" s="1"/>
      <c r="J15" s="1"/>
      <c r="K15" s="1"/>
      <c r="L15" s="1"/>
      <c r="M15" s="1"/>
      <c r="N15" s="1"/>
      <c r="O15" s="1"/>
      <c r="P15" s="1"/>
      <c r="Q15" s="1"/>
      <c r="R15" s="1"/>
      <c r="S15" s="1"/>
      <c r="T15" s="1"/>
      <c r="U15" s="1"/>
      <c r="V15" s="1"/>
      <c r="W15" s="1"/>
      <c r="X15" s="1"/>
      <c r="Y15" s="1"/>
      <c r="Z15" s="1"/>
      <c r="AA15" s="1"/>
      <c r="AB15" s="1"/>
      <c r="AC15" s="1"/>
    </row>
    <row r="16" spans="1:29">
      <c r="A16" s="42" t="s">
        <v>565</v>
      </c>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row>
    <row r="17" spans="1:29">
      <c r="A17" s="1" t="str">
        <f>'Cost Assumptions'!C3&amp;" : "&amp;'Cost Assumptions'!C4</f>
        <v>NS Subsurface Energy Develop : NS NRR</v>
      </c>
      <c r="B17" s="1" t="str">
        <f>'Cost Assumptions'!E3&amp;" : "&amp;'Cost Assumptions'!E4</f>
        <v xml:space="preserve">Set1 : </v>
      </c>
      <c r="C17" s="1" t="str">
        <f>'Cost Assumptions'!G3&amp;" : "&amp;'Cost Assumptions'!G4</f>
        <v xml:space="preserve">Set2 : </v>
      </c>
      <c r="D17" s="1" t="str">
        <f>'Cost Assumptions'!I3&amp;" : "&amp;'Cost Assumptions'!I4</f>
        <v xml:space="preserve">Set3 : </v>
      </c>
      <c r="E17" s="1" t="str">
        <f>'Cost Assumptions'!K3&amp;" : "&amp;'Cost Assumptions'!K4</f>
        <v xml:space="preserve">Set4 : </v>
      </c>
      <c r="F17" s="1"/>
      <c r="G17" s="1"/>
      <c r="H17" s="1"/>
      <c r="I17" s="1"/>
      <c r="J17" s="1"/>
      <c r="K17" s="1"/>
      <c r="L17" s="1"/>
      <c r="M17" s="1"/>
      <c r="N17" s="1"/>
      <c r="O17" s="30" t="s">
        <v>1045</v>
      </c>
      <c r="P17" s="1"/>
      <c r="Q17" s="1"/>
      <c r="R17" s="1"/>
      <c r="S17" s="1"/>
      <c r="T17" s="1"/>
      <c r="U17" s="1"/>
      <c r="V17" s="1"/>
      <c r="W17" s="1"/>
      <c r="X17" s="1"/>
      <c r="Y17" s="1"/>
      <c r="Z17" s="1"/>
      <c r="AA17" s="1"/>
      <c r="AB17" s="1"/>
      <c r="AC17" s="1"/>
    </row>
    <row r="18" spans="1:29">
      <c r="A18" s="1"/>
      <c r="B18" s="1"/>
      <c r="C18" s="1"/>
      <c r="D18" s="1"/>
      <c r="E18" s="1"/>
      <c r="F18" s="1"/>
      <c r="G18" s="1"/>
      <c r="H18" s="1"/>
      <c r="I18" s="1"/>
      <c r="J18" s="1"/>
      <c r="K18" s="1"/>
      <c r="L18" s="1"/>
      <c r="M18" s="1"/>
      <c r="N18" s="1"/>
      <c r="O18" s="1" t="str">
        <f>IF(Input!B16=A30,Lists!O43,IF(Input!B17=Lists!A24,Lists!O42,Lists!O43))</f>
        <v>Not Required</v>
      </c>
      <c r="P18" s="1"/>
      <c r="Q18" s="1"/>
      <c r="R18" s="1"/>
      <c r="S18" s="1"/>
      <c r="T18" s="1"/>
      <c r="U18" s="1"/>
      <c r="V18" s="1"/>
      <c r="W18" s="1"/>
      <c r="X18" s="1"/>
      <c r="Y18" s="1"/>
      <c r="Z18" s="1"/>
      <c r="AA18" s="1"/>
      <c r="AB18" s="1"/>
      <c r="AC18" s="1"/>
    </row>
    <row r="19" spans="1:29">
      <c r="A19" s="42" t="s">
        <v>72</v>
      </c>
      <c r="B19" s="1"/>
      <c r="C19" s="1"/>
      <c r="D19" s="1"/>
      <c r="E19" s="1"/>
      <c r="F19" s="1"/>
      <c r="G19" s="1"/>
      <c r="H19" s="1"/>
      <c r="I19" s="1"/>
      <c r="J19" s="1"/>
      <c r="K19" s="1"/>
      <c r="L19" s="1"/>
      <c r="M19" s="1"/>
      <c r="N19" s="1"/>
      <c r="O19" s="1" t="str">
        <f>IF(Input!B16=A30,"",IF(Input!B17=Lists!A24,Lists!O43,""))</f>
        <v/>
      </c>
      <c r="P19" s="1"/>
      <c r="Q19" s="1"/>
      <c r="R19" s="1"/>
      <c r="S19" s="1"/>
      <c r="T19" s="1"/>
      <c r="U19" s="1"/>
      <c r="V19" s="1"/>
      <c r="W19" s="1"/>
      <c r="X19" s="1"/>
      <c r="Y19" s="1"/>
      <c r="Z19" s="1"/>
      <c r="AA19" s="1"/>
      <c r="AB19" s="1"/>
      <c r="AC19" s="1"/>
    </row>
    <row r="20" spans="1:29">
      <c r="A20" s="43" t="str">
        <f>'Economic Assumptions'!B4</f>
        <v>Base</v>
      </c>
      <c r="B20" s="43" t="str">
        <f>'Economic Assumptions'!L4</f>
        <v>High Inflation</v>
      </c>
      <c r="C20" s="43" t="str">
        <f>'Economic Assumptions'!V4</f>
        <v>Base + 3%/y</v>
      </c>
      <c r="D20" s="43" t="str">
        <f>'Economic Assumptions'!AF4</f>
        <v>Base - 1.5%/y</v>
      </c>
      <c r="E20" s="43" t="str">
        <f>'Economic Assumptions'!AP4</f>
        <v>Flat Real</v>
      </c>
      <c r="F20" s="1"/>
      <c r="G20" s="1"/>
      <c r="H20" s="1"/>
      <c r="I20" s="1"/>
      <c r="J20" s="1"/>
      <c r="K20" s="1"/>
      <c r="L20" s="1"/>
      <c r="M20" s="1"/>
      <c r="N20" s="1"/>
      <c r="O20" s="1"/>
      <c r="P20" s="1"/>
      <c r="Q20" s="1"/>
      <c r="R20" s="1"/>
      <c r="S20" s="1"/>
      <c r="T20" s="1"/>
      <c r="U20" s="1"/>
      <c r="V20" s="1"/>
      <c r="W20" s="1"/>
      <c r="X20" s="1"/>
      <c r="Y20" s="1"/>
      <c r="Z20" s="1"/>
      <c r="AA20" s="1"/>
      <c r="AB20" s="1"/>
      <c r="AC20" s="1"/>
    </row>
    <row r="21" spans="1:29">
      <c r="A21" s="1" t="str">
        <f>'Economic Assumptions'!B3&amp;" : "&amp;'Economic Assumptions'!B4</f>
        <v>Scenario 1 : Base</v>
      </c>
      <c r="B21" s="1" t="str">
        <f>'Economic Assumptions'!L3&amp;" : "&amp;'Economic Assumptions'!L4</f>
        <v>Scenario 2 : High Inflation</v>
      </c>
      <c r="C21" s="1" t="str">
        <f>'Economic Assumptions'!V3&amp;" : "&amp;'Economic Assumptions'!V4</f>
        <v>Scenario 3 : Base + 3%/y</v>
      </c>
      <c r="D21" s="1" t="str">
        <f>'Economic Assumptions'!AF3&amp;" : "&amp;'Economic Assumptions'!AF4</f>
        <v>Scenario 4 : Base - 1.5%/y</v>
      </c>
      <c r="E21" s="1" t="str">
        <f>'Economic Assumptions'!AP3&amp;" : "&amp;'Economic Assumptions'!AP4</f>
        <v>Scenario 5 : Flat Real</v>
      </c>
      <c r="F21" s="1"/>
      <c r="G21" s="1"/>
      <c r="H21" s="1"/>
      <c r="I21" s="1"/>
      <c r="J21" s="1"/>
      <c r="K21" s="1"/>
      <c r="L21" s="1"/>
      <c r="M21" s="1"/>
      <c r="N21" s="1"/>
      <c r="O21" s="30" t="s">
        <v>696</v>
      </c>
      <c r="P21" s="1"/>
      <c r="Q21" s="1"/>
      <c r="R21" s="1"/>
      <c r="S21" s="1"/>
      <c r="T21" s="1"/>
      <c r="U21" s="1"/>
      <c r="V21" s="30" t="s">
        <v>695</v>
      </c>
      <c r="W21" s="1"/>
      <c r="X21" s="1"/>
      <c r="Y21" s="1"/>
      <c r="Z21" s="1"/>
      <c r="AA21" s="1"/>
      <c r="AB21" s="1"/>
      <c r="AC21" s="1"/>
    </row>
    <row r="22" spans="1:29">
      <c r="A22" s="42" t="s">
        <v>566</v>
      </c>
      <c r="B22" s="1"/>
      <c r="C22" s="1"/>
      <c r="D22" s="1"/>
      <c r="E22" s="1"/>
      <c r="F22" s="1"/>
      <c r="G22" s="1"/>
      <c r="H22" s="1"/>
      <c r="I22" s="1"/>
      <c r="J22" s="1"/>
      <c r="K22" s="1"/>
      <c r="L22" s="1"/>
      <c r="M22" s="1"/>
      <c r="N22" s="1"/>
      <c r="O22" s="30" t="s">
        <v>329</v>
      </c>
      <c r="P22" s="30"/>
      <c r="Q22" s="30" t="s">
        <v>635</v>
      </c>
      <c r="R22" s="1"/>
      <c r="S22" s="1"/>
      <c r="T22" s="30" t="s">
        <v>686</v>
      </c>
      <c r="U22" s="1"/>
      <c r="V22" s="30" t="s">
        <v>570</v>
      </c>
      <c r="W22" s="30" t="s">
        <v>685</v>
      </c>
      <c r="X22" s="1"/>
      <c r="Y22" s="1"/>
      <c r="Z22" s="1"/>
      <c r="AA22" s="1"/>
      <c r="AB22" s="1"/>
      <c r="AC22" s="1"/>
    </row>
    <row r="23" spans="1:29">
      <c r="A23" s="1" t="str">
        <f>IF(Input!$B$13=Lists!$A$61,Lists!Q23,Lists!O23)</f>
        <v>To Infrastructure</v>
      </c>
      <c r="B23" s="1"/>
      <c r="C23" s="1" t="s">
        <v>567</v>
      </c>
      <c r="D23" s="1"/>
      <c r="E23" s="1"/>
      <c r="F23" s="1"/>
      <c r="G23" s="1"/>
      <c r="H23" s="1"/>
      <c r="I23" s="1"/>
      <c r="J23" s="1"/>
      <c r="K23" s="1"/>
      <c r="L23" s="1"/>
      <c r="M23" s="1"/>
      <c r="N23" s="1"/>
      <c r="O23" s="1" t="str">
        <f>IF(OR(Input!$B$16=$O$33,Input!$B$16=Lists!$O$39),Lists!V23,Lists!W23)</f>
        <v>To Infrastructure</v>
      </c>
      <c r="P23" s="1"/>
      <c r="Q23" s="1" t="str">
        <f>Direct_Pipeline_Tie_in</f>
        <v>To Infrastructure</v>
      </c>
      <c r="R23" s="1"/>
      <c r="S23" s="1"/>
      <c r="T23" s="1"/>
      <c r="U23" s="1"/>
      <c r="V23" s="61" t="str">
        <f>W23</f>
        <v>To Infrastructure</v>
      </c>
      <c r="W23" s="1" t="str">
        <f>Q34</f>
        <v>To Infrastructure</v>
      </c>
      <c r="X23" s="1"/>
      <c r="Y23" s="1"/>
      <c r="Z23" s="1"/>
      <c r="AA23" s="1"/>
      <c r="AB23" s="1"/>
      <c r="AC23" s="1"/>
    </row>
    <row r="24" spans="1:29">
      <c r="A24" s="1" t="str">
        <f>IF(Input!$B$13=Lists!$A$61,Lists!Q24,Lists!O24)</f>
        <v>To Shore</v>
      </c>
      <c r="B24" s="1"/>
      <c r="C24" s="1" t="s">
        <v>568</v>
      </c>
      <c r="D24" s="1"/>
      <c r="E24" s="1"/>
      <c r="F24" s="1"/>
      <c r="G24" s="1"/>
      <c r="H24" s="1"/>
      <c r="I24" s="1"/>
      <c r="J24" s="1"/>
      <c r="K24" s="1"/>
      <c r="L24" s="1"/>
      <c r="M24" s="1"/>
      <c r="N24" s="1"/>
      <c r="O24" s="1" t="str">
        <f>IF(OR(Input!$B$16=$O$33,Input!$B$16=Lists!$O$39),Lists!V24,Lists!W24)</f>
        <v>To Shore</v>
      </c>
      <c r="P24" s="1"/>
      <c r="Q24" s="61" t="str">
        <f>Shore</f>
        <v>To Shore</v>
      </c>
      <c r="R24" s="1"/>
      <c r="S24" s="1"/>
      <c r="T24" s="1"/>
      <c r="U24" s="1"/>
      <c r="V24" s="61" t="s">
        <v>659</v>
      </c>
      <c r="W24" s="1" t="str">
        <f>Q35</f>
        <v>To Shore</v>
      </c>
      <c r="X24" s="1"/>
      <c r="Y24" s="1"/>
      <c r="Z24" s="1"/>
      <c r="AA24" s="1"/>
      <c r="AB24" s="1"/>
      <c r="AC24" s="1"/>
    </row>
    <row r="25" spans="1:29">
      <c r="A25" s="1" t="str">
        <f>IF(Input!$B$13=Lists!$A$61,Lists!Q25,Lists!O25)</f>
        <v>Re-inject</v>
      </c>
      <c r="B25" s="1"/>
      <c r="C25" s="1" t="s">
        <v>569</v>
      </c>
      <c r="D25" s="1"/>
      <c r="E25" s="1"/>
      <c r="F25" s="1"/>
      <c r="G25" s="1"/>
      <c r="H25" s="1"/>
      <c r="I25" s="1"/>
      <c r="J25" s="1"/>
      <c r="K25" s="1"/>
      <c r="L25" s="1"/>
      <c r="M25" s="1"/>
      <c r="N25" s="1"/>
      <c r="O25" s="1" t="str">
        <f>IF(OR(Input!$B$16=$O$33,Input!$B$16=Lists!$O$39),Lists!V25,Lists!W25)</f>
        <v/>
      </c>
      <c r="P25" s="1"/>
      <c r="Q25" s="61" t="str">
        <f>Q37</f>
        <v>Re-inject</v>
      </c>
      <c r="R25" s="1"/>
      <c r="S25" s="1"/>
      <c r="T25" s="1"/>
      <c r="U25" s="1"/>
      <c r="V25" s="61" t="s">
        <v>659</v>
      </c>
      <c r="W25" s="61" t="s">
        <v>659</v>
      </c>
      <c r="X25" s="1"/>
      <c r="Y25" s="1"/>
      <c r="Z25" s="1"/>
      <c r="AA25" s="1"/>
      <c r="AB25" s="1"/>
      <c r="AC25" s="1"/>
    </row>
    <row r="26" spans="1:29">
      <c r="A26" s="1"/>
      <c r="B26" s="1"/>
      <c r="C26" s="1"/>
      <c r="D26" s="1"/>
      <c r="E26" s="1"/>
      <c r="F26" s="1"/>
      <c r="G26" s="1"/>
      <c r="H26" s="1"/>
      <c r="I26" s="1"/>
      <c r="J26" s="1"/>
      <c r="K26" s="1"/>
      <c r="L26" s="1"/>
      <c r="M26" s="1"/>
      <c r="N26" s="1"/>
      <c r="O26" s="30" t="s">
        <v>697</v>
      </c>
      <c r="P26" s="1"/>
      <c r="Q26" s="1"/>
      <c r="R26" s="1"/>
      <c r="S26" s="1"/>
      <c r="T26" s="1"/>
      <c r="U26" s="1"/>
      <c r="V26" s="1"/>
      <c r="W26" s="1"/>
      <c r="X26" s="1"/>
      <c r="Y26" s="1"/>
      <c r="Z26" s="1"/>
      <c r="AA26" s="1"/>
      <c r="AB26" s="1"/>
      <c r="AC26" s="1"/>
    </row>
    <row r="27" spans="1:29">
      <c r="A27" s="42" t="s">
        <v>80</v>
      </c>
      <c r="B27" s="1"/>
      <c r="C27" s="1"/>
      <c r="D27" s="1"/>
      <c r="E27" s="1"/>
      <c r="F27" s="1"/>
      <c r="G27" s="1"/>
      <c r="H27" s="1"/>
      <c r="I27" s="1"/>
      <c r="J27" s="1"/>
      <c r="K27" s="1"/>
      <c r="L27" s="1"/>
      <c r="M27" s="1"/>
      <c r="N27" s="1"/>
      <c r="O27" s="1" t="s">
        <v>329</v>
      </c>
      <c r="P27" s="1"/>
      <c r="Q27" s="1" t="s">
        <v>635</v>
      </c>
      <c r="R27" s="1"/>
      <c r="S27" s="1"/>
      <c r="T27" s="1"/>
      <c r="U27" s="1"/>
      <c r="V27" s="30" t="s">
        <v>694</v>
      </c>
      <c r="W27" s="1"/>
      <c r="X27" s="1"/>
      <c r="Y27" s="1"/>
      <c r="Z27" s="1"/>
      <c r="AA27" s="1" t="s">
        <v>698</v>
      </c>
      <c r="AB27" s="1"/>
      <c r="AC27" s="1"/>
    </row>
    <row r="28" spans="1:29">
      <c r="A28" s="1" t="str">
        <f>IF(Input!$B$13=Lists!$A$61,Lists!Q28,Lists!O28)</f>
        <v>FPSO</v>
      </c>
      <c r="B28" s="1"/>
      <c r="C28" s="1"/>
      <c r="D28" s="1"/>
      <c r="E28" s="1"/>
      <c r="F28" s="1"/>
      <c r="G28" s="1"/>
      <c r="H28" s="1"/>
      <c r="I28" s="1"/>
      <c r="J28" s="1"/>
      <c r="K28" s="1"/>
      <c r="L28" s="1"/>
      <c r="M28" s="1"/>
      <c r="N28" s="1"/>
      <c r="O28" s="1" t="str">
        <f>HLOOKUP(Input!$B$15,Lists!$V$28:$X$32,2)</f>
        <v>Semi / SPAR</v>
      </c>
      <c r="P28" s="1"/>
      <c r="Q28" s="1" t="str">
        <f>HLOOKUP(Input!$B$15,$AA$28:$AB$31,2)</f>
        <v>FPSO</v>
      </c>
      <c r="R28" s="1"/>
      <c r="S28" s="1"/>
      <c r="T28" s="30" t="s">
        <v>693</v>
      </c>
      <c r="U28" s="1"/>
      <c r="V28" s="62">
        <v>0</v>
      </c>
      <c r="W28" s="62">
        <v>110</v>
      </c>
      <c r="X28" s="62">
        <v>200</v>
      </c>
      <c r="Y28" s="1"/>
      <c r="Z28" s="30" t="s">
        <v>693</v>
      </c>
      <c r="AA28" s="30">
        <v>0</v>
      </c>
      <c r="AB28" s="30">
        <v>200</v>
      </c>
      <c r="AC28" s="1"/>
    </row>
    <row r="29" spans="1:29">
      <c r="A29" s="1" t="str">
        <f>IF(Input!$B$13=Lists!$A$61,Lists!Q29,Lists!O29)</f>
        <v/>
      </c>
      <c r="B29" s="1"/>
      <c r="C29" s="1"/>
      <c r="D29" s="1"/>
      <c r="E29" s="1"/>
      <c r="F29" s="1"/>
      <c r="G29" s="1"/>
      <c r="H29" s="1"/>
      <c r="I29" s="1"/>
      <c r="J29" s="1"/>
      <c r="K29" s="1"/>
      <c r="L29" s="1"/>
      <c r="M29" s="1"/>
      <c r="N29" s="1"/>
      <c r="O29" s="1" t="str">
        <f>HLOOKUP(Input!$B$15,Lists!$V$28:$X$32,3)</f>
        <v>Subsea to Infrastructure</v>
      </c>
      <c r="P29" s="1"/>
      <c r="Q29" s="1" t="str">
        <f>HLOOKUP(Input!$B$15,$AA$28:$AB$31,3)</f>
        <v/>
      </c>
      <c r="R29" s="1"/>
      <c r="S29" s="1"/>
      <c r="T29" s="1"/>
      <c r="U29" s="1"/>
      <c r="V29" s="1" t="str">
        <f>O34</f>
        <v>Fixed Platform</v>
      </c>
      <c r="W29" s="1" t="str">
        <f>O34</f>
        <v>Fixed Platform</v>
      </c>
      <c r="X29" s="1" t="str">
        <f>O37</f>
        <v>Semi / SPAR</v>
      </c>
      <c r="Y29" s="1"/>
      <c r="Z29" s="1"/>
      <c r="AA29" s="1" t="str">
        <f>O36</f>
        <v>FPSO</v>
      </c>
      <c r="AB29" s="1" t="str">
        <f>O36</f>
        <v>FPSO</v>
      </c>
      <c r="AC29" s="1"/>
    </row>
    <row r="30" spans="1:29">
      <c r="A30" s="1" t="str">
        <f>IF(Input!$B$13=Lists!$A$61,Lists!Q30,Lists!O30)</f>
        <v/>
      </c>
      <c r="B30" s="1"/>
      <c r="C30" s="1"/>
      <c r="D30" s="1"/>
      <c r="E30" s="1"/>
      <c r="F30" s="1"/>
      <c r="G30" s="1"/>
      <c r="H30" s="1"/>
      <c r="I30" s="1"/>
      <c r="J30" s="1"/>
      <c r="K30" s="1"/>
      <c r="L30" s="1"/>
      <c r="M30" s="1"/>
      <c r="N30" s="1"/>
      <c r="O30" s="1" t="str">
        <f>HLOOKUP(Input!$B$15,Lists!$V$28:$X$32,4)</f>
        <v/>
      </c>
      <c r="P30" s="1"/>
      <c r="Q30" s="1" t="str">
        <f>HLOOKUP(Input!$B$15,$AA$28:$AB$31,4)</f>
        <v/>
      </c>
      <c r="R30" s="1"/>
      <c r="S30" s="1"/>
      <c r="T30" s="1"/>
      <c r="U30" s="1"/>
      <c r="V30" s="1" t="str">
        <f>O35</f>
        <v>Jack-up</v>
      </c>
      <c r="W30" s="1" t="str">
        <f>IF(Input!$B$14&lt;=Lists!W$33,Lists!$O$33,"")</f>
        <v>Subsea to Infrastructure</v>
      </c>
      <c r="X30" s="1" t="str">
        <f>IF(Input!$B$14&lt;=Lists!X$33,Lists!$O$33,"")</f>
        <v>Subsea to Infrastructure</v>
      </c>
      <c r="Y30" s="1"/>
      <c r="Z30" s="1"/>
      <c r="AA30" s="1" t="str">
        <f>IF(Input!$B$14&lt;=Lists!AA32,Lists!$O$38,"")</f>
        <v>Leased FPS0</v>
      </c>
      <c r="AB30" s="1" t="str">
        <f>IF(Input!$B$14&lt;=Lists!AB32,Lists!$O$38,"")</f>
        <v/>
      </c>
      <c r="AC30" s="1"/>
    </row>
    <row r="31" spans="1:29">
      <c r="A31" s="1" t="str">
        <f>IF(Input!$B$13=Lists!$A$61,Lists!Q31,Lists!O31)</f>
        <v/>
      </c>
      <c r="B31" s="1"/>
      <c r="C31" s="1"/>
      <c r="D31" s="1"/>
      <c r="E31" s="1"/>
      <c r="F31" s="1"/>
      <c r="G31" s="1"/>
      <c r="H31" s="1"/>
      <c r="I31" s="1"/>
      <c r="J31" s="1"/>
      <c r="K31" s="1"/>
      <c r="L31" s="1"/>
      <c r="M31" s="1"/>
      <c r="N31" s="1"/>
      <c r="O31" s="1" t="str">
        <f>HLOOKUP(Input!$B$15,Lists!$V$28:$X$32,5)</f>
        <v/>
      </c>
      <c r="P31" s="1"/>
      <c r="Q31" s="61" t="s">
        <v>659</v>
      </c>
      <c r="R31" s="1"/>
      <c r="S31" s="1"/>
      <c r="T31" s="1"/>
      <c r="U31" s="1"/>
      <c r="V31" s="1" t="str">
        <f>IF(Input!$B$14&lt;=Lists!V$33,Lists!$O$33,"")</f>
        <v>Subsea to Infrastructure</v>
      </c>
      <c r="W31" s="1" t="str">
        <f>IF(Input!B14&lt;=Lists!W34,Lists!O39,"")</f>
        <v>Minimal Processing Platform</v>
      </c>
      <c r="X31" s="61" t="s">
        <v>659</v>
      </c>
      <c r="Y31" s="1"/>
      <c r="Z31" s="1"/>
      <c r="AA31" s="61" t="s">
        <v>659</v>
      </c>
      <c r="AB31" s="61" t="s">
        <v>659</v>
      </c>
      <c r="AC31" s="1"/>
    </row>
    <row r="32" spans="1:29">
      <c r="A32" s="42" t="s">
        <v>572</v>
      </c>
      <c r="B32" s="1"/>
      <c r="C32" s="1"/>
      <c r="D32" s="1"/>
      <c r="E32" s="1"/>
      <c r="F32" s="1"/>
      <c r="G32" s="1"/>
      <c r="H32" s="1"/>
      <c r="I32" s="1"/>
      <c r="J32" s="1"/>
      <c r="K32" s="1"/>
      <c r="L32" s="1"/>
      <c r="M32" s="1"/>
      <c r="N32" s="1"/>
      <c r="O32" s="30" t="s">
        <v>687</v>
      </c>
      <c r="P32" s="1"/>
      <c r="Q32" s="30" t="s">
        <v>723</v>
      </c>
      <c r="R32" s="1"/>
      <c r="S32" s="1"/>
      <c r="T32" s="1"/>
      <c r="U32" s="1"/>
      <c r="V32" s="1" t="str">
        <f>IF(Input!B14&lt;=Lists!V34,Lists!O39,"")</f>
        <v>Minimal Processing Platform</v>
      </c>
      <c r="W32" s="61" t="s">
        <v>659</v>
      </c>
      <c r="X32" s="61" t="s">
        <v>659</v>
      </c>
      <c r="Y32" s="1"/>
      <c r="Z32" s="1" t="s">
        <v>699</v>
      </c>
      <c r="AA32" s="1">
        <v>1000</v>
      </c>
      <c r="AB32" s="1"/>
      <c r="AC32" s="1"/>
    </row>
    <row r="33" spans="1:29">
      <c r="A33" s="1" t="s">
        <v>573</v>
      </c>
      <c r="B33" s="1" t="s">
        <v>574</v>
      </c>
      <c r="C33" s="1"/>
      <c r="D33" s="1"/>
      <c r="E33" s="1"/>
      <c r="F33" s="1"/>
      <c r="G33" s="1"/>
      <c r="H33" s="1"/>
      <c r="I33" s="1"/>
      <c r="J33" s="1"/>
      <c r="K33" s="1"/>
      <c r="L33" s="1"/>
      <c r="M33" s="1"/>
      <c r="N33" s="1"/>
      <c r="O33" s="1" t="s">
        <v>835</v>
      </c>
      <c r="P33" s="1"/>
      <c r="Q33" s="1" t="s">
        <v>842</v>
      </c>
      <c r="R33" s="1"/>
      <c r="S33" s="1"/>
      <c r="T33" s="30" t="s">
        <v>692</v>
      </c>
      <c r="U33" s="30"/>
      <c r="V33" s="30">
        <v>500</v>
      </c>
      <c r="W33" s="30">
        <v>500</v>
      </c>
      <c r="X33" s="30">
        <v>1500</v>
      </c>
      <c r="Y33" s="1"/>
      <c r="Z33" s="1"/>
      <c r="AA33" s="1"/>
      <c r="AB33" s="1"/>
      <c r="AC33" s="1"/>
    </row>
    <row r="34" spans="1:29">
      <c r="A34" s="1" t="s">
        <v>575</v>
      </c>
      <c r="B34" s="1" t="s">
        <v>576</v>
      </c>
      <c r="C34" s="1"/>
      <c r="D34" s="1"/>
      <c r="E34" s="1"/>
      <c r="F34" s="1"/>
      <c r="G34" s="1"/>
      <c r="H34" s="1"/>
      <c r="I34" s="1"/>
      <c r="J34" s="1"/>
      <c r="K34" s="1"/>
      <c r="L34" s="1"/>
      <c r="M34" s="1"/>
      <c r="N34" s="1"/>
      <c r="O34" s="1" t="s">
        <v>571</v>
      </c>
      <c r="P34" s="1"/>
      <c r="Q34" s="1" t="s">
        <v>836</v>
      </c>
      <c r="R34" s="1"/>
      <c r="S34" s="1"/>
      <c r="T34" s="30" t="s">
        <v>865</v>
      </c>
      <c r="U34" s="1"/>
      <c r="V34" s="30">
        <v>300</v>
      </c>
      <c r="W34" s="30">
        <v>300</v>
      </c>
      <c r="X34" s="30">
        <v>1000</v>
      </c>
      <c r="Y34" s="1"/>
      <c r="Z34" s="1"/>
      <c r="AA34" s="1"/>
      <c r="AB34" s="1"/>
      <c r="AC34" s="1"/>
    </row>
    <row r="35" spans="1:29">
      <c r="A35" s="1"/>
      <c r="B35" s="1"/>
      <c r="C35" s="1"/>
      <c r="D35" s="1"/>
      <c r="E35" s="1"/>
      <c r="F35" s="1"/>
      <c r="G35" s="1"/>
      <c r="H35" s="1"/>
      <c r="I35" s="1"/>
      <c r="J35" s="1"/>
      <c r="K35" s="1"/>
      <c r="L35" s="1"/>
      <c r="M35" s="1"/>
      <c r="N35" s="1"/>
      <c r="O35" s="1" t="s">
        <v>683</v>
      </c>
      <c r="P35" s="1"/>
      <c r="Q35" s="1" t="s">
        <v>837</v>
      </c>
      <c r="R35" s="1"/>
      <c r="S35" s="1"/>
      <c r="T35" s="1"/>
      <c r="U35" s="1"/>
      <c r="V35" s="1"/>
      <c r="W35" s="1"/>
      <c r="X35" s="1"/>
      <c r="Y35" s="1"/>
      <c r="Z35" s="1"/>
      <c r="AA35" s="1"/>
      <c r="AB35" s="1"/>
      <c r="AC35" s="1"/>
    </row>
    <row r="36" spans="1:29">
      <c r="A36" s="42" t="s">
        <v>577</v>
      </c>
      <c r="B36" s="1"/>
      <c r="C36" s="1"/>
      <c r="D36" s="1"/>
      <c r="E36" s="1"/>
      <c r="F36" s="1"/>
      <c r="G36" s="1"/>
      <c r="H36" s="1"/>
      <c r="I36" s="1"/>
      <c r="J36" s="1"/>
      <c r="K36" s="1"/>
      <c r="L36" s="1"/>
      <c r="M36" s="1"/>
      <c r="N36" s="1"/>
      <c r="O36" s="1" t="s">
        <v>832</v>
      </c>
      <c r="P36" s="1"/>
      <c r="Q36" s="1" t="s">
        <v>684</v>
      </c>
      <c r="R36" s="1"/>
      <c r="S36" s="1"/>
      <c r="T36" s="1"/>
      <c r="U36" s="1"/>
      <c r="V36" s="1"/>
      <c r="W36" s="1"/>
      <c r="X36" s="1"/>
      <c r="Y36" s="1"/>
      <c r="Z36" s="1"/>
      <c r="AA36" s="1"/>
      <c r="AB36" s="1"/>
      <c r="AC36" s="1"/>
    </row>
    <row r="37" spans="1:29">
      <c r="A37" s="1" t="s">
        <v>138</v>
      </c>
      <c r="B37" s="1"/>
      <c r="C37" s="1"/>
      <c r="D37" s="1"/>
      <c r="E37" s="1"/>
      <c r="F37" s="1"/>
      <c r="G37" s="1"/>
      <c r="H37" s="1"/>
      <c r="I37" s="1"/>
      <c r="J37" s="1"/>
      <c r="K37" s="1"/>
      <c r="L37" s="1"/>
      <c r="M37" s="1"/>
      <c r="N37" s="1"/>
      <c r="O37" s="1" t="s">
        <v>833</v>
      </c>
      <c r="P37" s="1"/>
      <c r="Q37" s="1" t="s">
        <v>841</v>
      </c>
      <c r="R37" s="1"/>
      <c r="S37" s="1"/>
      <c r="T37" s="1"/>
      <c r="U37" s="1"/>
      <c r="V37" s="1"/>
      <c r="W37" s="1"/>
      <c r="X37" s="1"/>
      <c r="Y37" s="1"/>
      <c r="Z37" s="1"/>
      <c r="AA37" s="1"/>
      <c r="AB37" s="1"/>
      <c r="AC37" s="1"/>
    </row>
    <row r="38" spans="1:29">
      <c r="A38" s="1" t="s">
        <v>578</v>
      </c>
      <c r="B38" s="1"/>
      <c r="C38" s="1"/>
      <c r="D38" s="1"/>
      <c r="E38" s="1"/>
      <c r="F38" s="1"/>
      <c r="G38" s="1"/>
      <c r="H38" s="1"/>
      <c r="I38" s="1"/>
      <c r="J38" s="1"/>
      <c r="K38" s="1"/>
      <c r="L38" s="1"/>
      <c r="M38" s="1"/>
      <c r="N38" s="1"/>
      <c r="O38" s="1" t="s">
        <v>834</v>
      </c>
      <c r="P38" s="1"/>
      <c r="Q38" s="1"/>
      <c r="R38" s="1"/>
      <c r="S38" s="1"/>
      <c r="T38" s="1"/>
      <c r="U38" s="1"/>
      <c r="V38" s="1"/>
      <c r="W38" s="1"/>
      <c r="X38" s="1"/>
      <c r="Y38" s="1"/>
      <c r="Z38" s="1"/>
      <c r="AA38" s="1"/>
      <c r="AB38" s="1"/>
      <c r="AC38" s="1"/>
    </row>
    <row r="39" spans="1:29">
      <c r="A39" s="1"/>
      <c r="B39" s="1"/>
      <c r="C39" s="1"/>
      <c r="D39" s="1"/>
      <c r="E39" s="1"/>
      <c r="F39" s="1"/>
      <c r="G39" s="1"/>
      <c r="H39" s="1"/>
      <c r="I39" s="1"/>
      <c r="J39" s="1"/>
      <c r="K39" s="1"/>
      <c r="L39" s="1"/>
      <c r="M39" s="1"/>
      <c r="N39" s="1"/>
      <c r="O39" s="1" t="s">
        <v>845</v>
      </c>
      <c r="P39" s="1"/>
      <c r="Q39" s="1"/>
      <c r="R39" s="1"/>
      <c r="S39" s="1"/>
      <c r="T39" s="1"/>
      <c r="U39" s="1"/>
      <c r="V39" s="1"/>
      <c r="W39" s="1"/>
      <c r="X39" s="1"/>
      <c r="Y39" s="1"/>
      <c r="Z39" s="1"/>
      <c r="AA39" s="1"/>
      <c r="AB39" s="1"/>
      <c r="AC39" s="1"/>
    </row>
    <row r="40" spans="1:29">
      <c r="A40" s="42" t="s">
        <v>440</v>
      </c>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row>
    <row r="41" spans="1:29">
      <c r="A41" s="1" t="s">
        <v>115</v>
      </c>
      <c r="B41" s="1"/>
      <c r="C41" s="1"/>
      <c r="D41" s="1"/>
      <c r="E41" s="1"/>
      <c r="F41" s="1"/>
      <c r="G41" s="1"/>
      <c r="H41" s="1"/>
      <c r="I41" s="1"/>
      <c r="J41" s="1"/>
      <c r="K41" s="1"/>
      <c r="L41" s="1"/>
      <c r="M41" s="1"/>
      <c r="N41" s="1"/>
      <c r="O41" s="30" t="s">
        <v>1034</v>
      </c>
      <c r="P41" s="1"/>
      <c r="Q41" s="1"/>
      <c r="R41" s="1"/>
      <c r="S41" s="1"/>
      <c r="T41" s="1"/>
      <c r="U41" s="1"/>
      <c r="V41" s="1"/>
      <c r="W41" s="1"/>
      <c r="X41" s="1"/>
      <c r="Y41" s="1"/>
      <c r="Z41" s="1"/>
      <c r="AA41" s="1"/>
      <c r="AB41" s="1"/>
      <c r="AC41" s="1"/>
    </row>
    <row r="42" spans="1:29">
      <c r="A42" s="1" t="s">
        <v>92</v>
      </c>
      <c r="B42" s="1"/>
      <c r="C42" s="1"/>
      <c r="D42" s="1"/>
      <c r="E42" s="1"/>
      <c r="F42" s="1"/>
      <c r="G42" s="1"/>
      <c r="H42" s="1"/>
      <c r="I42" s="1"/>
      <c r="J42" s="1"/>
      <c r="K42" s="1"/>
      <c r="L42" s="1"/>
      <c r="M42" s="1"/>
      <c r="N42" s="1"/>
      <c r="O42" s="1" t="s">
        <v>1035</v>
      </c>
      <c r="P42" s="1"/>
      <c r="Q42" s="1"/>
      <c r="R42" s="1"/>
      <c r="S42" s="1"/>
      <c r="T42" s="1"/>
      <c r="U42" s="1"/>
      <c r="V42" s="1"/>
      <c r="W42" s="1"/>
      <c r="X42" s="1"/>
      <c r="Y42" s="1"/>
      <c r="Z42" s="1"/>
      <c r="AA42" s="1"/>
      <c r="AB42" s="1"/>
      <c r="AC42" s="1"/>
    </row>
    <row r="43" spans="1:29">
      <c r="A43" s="1" t="s">
        <v>116</v>
      </c>
      <c r="B43" s="1"/>
      <c r="C43" s="1"/>
      <c r="D43" s="1"/>
      <c r="E43" s="1"/>
      <c r="F43" s="1"/>
      <c r="G43" s="1"/>
      <c r="H43" s="1"/>
      <c r="I43" s="1"/>
      <c r="J43" s="1"/>
      <c r="K43" s="1"/>
      <c r="L43" s="1"/>
      <c r="M43" s="1"/>
      <c r="N43" s="1"/>
      <c r="O43" s="1" t="s">
        <v>1036</v>
      </c>
      <c r="P43" s="1"/>
      <c r="Q43" s="1"/>
      <c r="R43" s="1"/>
      <c r="S43" s="1"/>
      <c r="T43" s="1"/>
      <c r="U43" s="1"/>
      <c r="V43" s="1"/>
      <c r="W43" s="1"/>
      <c r="X43" s="1"/>
      <c r="Y43" s="1"/>
      <c r="Z43" s="1"/>
      <c r="AA43" s="1"/>
      <c r="AB43" s="1"/>
      <c r="AC43" s="1"/>
    </row>
    <row r="44" spans="1:29">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row>
    <row r="45" spans="1:29">
      <c r="A45" s="42" t="s">
        <v>91</v>
      </c>
      <c r="B45" s="1"/>
      <c r="C45" s="1"/>
      <c r="D45" s="1"/>
      <c r="E45" s="1"/>
      <c r="F45" s="1"/>
      <c r="G45" s="1"/>
      <c r="H45" s="1"/>
      <c r="I45" s="1"/>
      <c r="J45" s="1"/>
      <c r="K45" s="1"/>
      <c r="L45" s="1"/>
      <c r="M45" s="1"/>
      <c r="N45" s="1"/>
      <c r="O45" s="30" t="s">
        <v>763</v>
      </c>
      <c r="P45" s="1"/>
      <c r="Q45" s="1"/>
      <c r="R45" s="1"/>
      <c r="S45" s="1"/>
      <c r="T45" s="1"/>
      <c r="U45" s="1"/>
      <c r="V45" s="1"/>
      <c r="W45" s="1"/>
      <c r="X45" s="1"/>
      <c r="Y45" s="1"/>
      <c r="Z45" s="1"/>
      <c r="AA45" s="1"/>
      <c r="AB45" s="1"/>
      <c r="AC45" s="1"/>
    </row>
    <row r="46" spans="1:29">
      <c r="A46" s="1" t="s">
        <v>115</v>
      </c>
      <c r="B46" s="1"/>
      <c r="C46" s="1"/>
      <c r="D46" s="1"/>
      <c r="E46" s="1"/>
      <c r="F46" s="1"/>
      <c r="G46" s="1"/>
      <c r="H46" s="1"/>
      <c r="I46" s="1"/>
      <c r="J46" s="1"/>
      <c r="K46" s="1"/>
      <c r="L46" s="1"/>
      <c r="M46" s="1"/>
      <c r="N46" s="1">
        <v>1</v>
      </c>
      <c r="O46" s="1" t="s">
        <v>78</v>
      </c>
      <c r="P46" s="1">
        <f>IF(AND(stageno&lt;Lists!N46+1,'Expl Overrides'!C5=Lists!$A$38),1,0)</f>
        <v>0</v>
      </c>
      <c r="Q46" s="1">
        <f>IF(P46=1,1+MAX(Q45:Q$45),0)</f>
        <v>0</v>
      </c>
      <c r="R46" s="1">
        <f t="shared" ref="R46:R53" si="0">IF(N46&lt;=$P$54,MATCH(N46,$Q$46:$Q$53,0),0)</f>
        <v>0</v>
      </c>
      <c r="S46" s="1" t="str" cm="1">
        <f t="array" ref="S46">IF(R46&gt;0,INDEX($O$46:$O$53,R46,1),"")</f>
        <v/>
      </c>
      <c r="T46" s="1" t="str">
        <f>IF(R46&gt;0,IF(S46=$O$53,"Recovery Included in Cash Flow","Override Model Calculated Cost"&amp;IF(S46=$O$50," &amp; Prod","")),"")</f>
        <v/>
      </c>
      <c r="U46" s="1"/>
      <c r="V46" s="1"/>
      <c r="W46" s="1"/>
      <c r="X46" s="1"/>
      <c r="Y46" s="1"/>
      <c r="Z46" s="1"/>
      <c r="AA46" s="1"/>
      <c r="AB46" s="1"/>
      <c r="AC46" s="1"/>
    </row>
    <row r="47" spans="1:29">
      <c r="A47" s="1" t="s">
        <v>92</v>
      </c>
      <c r="B47" s="1"/>
      <c r="C47" s="1"/>
      <c r="D47" s="1"/>
      <c r="E47" s="1"/>
      <c r="F47" s="1"/>
      <c r="G47" s="1"/>
      <c r="H47" s="1"/>
      <c r="I47" s="1"/>
      <c r="J47" s="1"/>
      <c r="K47" s="1"/>
      <c r="L47" s="1"/>
      <c r="M47" s="1"/>
      <c r="N47" s="1">
        <v>2</v>
      </c>
      <c r="O47" s="1" t="s">
        <v>86</v>
      </c>
      <c r="P47" s="1">
        <f>IF(AND(stageno&lt;Lists!N47+1,'Expl Overrides'!C15=Lists!$A$38),1,0)</f>
        <v>0</v>
      </c>
      <c r="Q47" s="1">
        <f>IF(P47=1,1+MAX(Q$45:Q46),0)</f>
        <v>0</v>
      </c>
      <c r="R47" s="1">
        <f t="shared" si="0"/>
        <v>0</v>
      </c>
      <c r="S47" s="1" t="str" cm="1">
        <f t="array" ref="S47">IF(R47&gt;0,INDEX($O$46:$O$53,R47,1),"")</f>
        <v/>
      </c>
      <c r="T47" s="1" t="str">
        <f t="shared" ref="T47:T53" si="1">IF(R47&gt;0,IF(S47=$O$53,"Recovery Included in Cash Flow","Override Model Calculated Cost"&amp;IF(S47=$O$50," &amp; Prod","")),"")</f>
        <v/>
      </c>
      <c r="U47" s="1"/>
      <c r="V47" s="1"/>
      <c r="W47" s="1"/>
      <c r="X47" s="1"/>
      <c r="Y47" s="1"/>
      <c r="Z47" s="1"/>
      <c r="AA47" s="1"/>
      <c r="AB47" s="1"/>
      <c r="AC47" s="1"/>
    </row>
    <row r="48" spans="1:29">
      <c r="A48" s="1" t="s">
        <v>116</v>
      </c>
      <c r="B48" s="1"/>
      <c r="C48" s="1"/>
      <c r="D48" s="1"/>
      <c r="E48" s="1"/>
      <c r="F48" s="1"/>
      <c r="G48" s="1"/>
      <c r="H48" s="1"/>
      <c r="I48" s="1"/>
      <c r="J48" s="1"/>
      <c r="K48" s="1"/>
      <c r="L48" s="1"/>
      <c r="M48" s="1"/>
      <c r="N48" s="1">
        <v>3</v>
      </c>
      <c r="O48" s="1" t="s">
        <v>87</v>
      </c>
      <c r="P48" s="1">
        <f>IF(AND(stageno&lt;Lists!N48+1,'Expl Overrides'!C25=Lists!$A$38),1,0)</f>
        <v>0</v>
      </c>
      <c r="Q48" s="1">
        <f>IF(P48=1,1+MAX(Q$45:Q47),0)</f>
        <v>0</v>
      </c>
      <c r="R48" s="1">
        <f t="shared" si="0"/>
        <v>0</v>
      </c>
      <c r="S48" s="1" t="str" cm="1">
        <f t="array" ref="S48">IF(R48&gt;0,INDEX($O$46:$O$53,R48,1),"")</f>
        <v/>
      </c>
      <c r="T48" s="1" t="str">
        <f t="shared" si="1"/>
        <v/>
      </c>
      <c r="U48" s="1"/>
      <c r="V48" s="1"/>
      <c r="W48" s="1"/>
      <c r="X48" s="1"/>
      <c r="Y48" s="1"/>
      <c r="Z48" s="1"/>
      <c r="AA48" s="1"/>
      <c r="AB48" s="1"/>
      <c r="AC48" s="1"/>
    </row>
    <row r="49" spans="1:29">
      <c r="A49" s="1"/>
      <c r="B49" s="1"/>
      <c r="C49" s="1"/>
      <c r="D49" s="1"/>
      <c r="E49" s="1"/>
      <c r="F49" s="1"/>
      <c r="G49" s="1"/>
      <c r="H49" s="1"/>
      <c r="I49" s="1"/>
      <c r="J49" s="1"/>
      <c r="K49" s="1"/>
      <c r="L49" s="1"/>
      <c r="M49" s="1"/>
      <c r="N49" s="1">
        <v>4</v>
      </c>
      <c r="O49" s="1" t="s">
        <v>292</v>
      </c>
      <c r="P49" s="1">
        <f>IF(AND(stageno&lt;Lists!N49+1,'Devel Overrides'!C11=Lists!$A$38),1,0)</f>
        <v>0</v>
      </c>
      <c r="Q49" s="1">
        <f>IF(P49=1,1+MAX(Q$45:Q48),0)</f>
        <v>0</v>
      </c>
      <c r="R49" s="1">
        <f t="shared" si="0"/>
        <v>0</v>
      </c>
      <c r="S49" s="1" t="str" cm="1">
        <f t="array" ref="S49">IF(R49&gt;0,INDEX($O$46:$O$53,R49,1),"")</f>
        <v/>
      </c>
      <c r="T49" s="1" t="str">
        <f t="shared" si="1"/>
        <v/>
      </c>
      <c r="U49" s="1"/>
      <c r="V49" s="1"/>
      <c r="W49" s="1"/>
      <c r="X49" s="1"/>
      <c r="Y49" s="1"/>
      <c r="Z49" s="1"/>
      <c r="AA49" s="1"/>
      <c r="AB49" s="1"/>
      <c r="AC49" s="1"/>
    </row>
    <row r="50" spans="1:29">
      <c r="A50" s="42" t="s">
        <v>579</v>
      </c>
      <c r="B50" s="1"/>
      <c r="C50" s="1"/>
      <c r="D50" s="1"/>
      <c r="E50" s="1"/>
      <c r="F50" s="1"/>
      <c r="G50" s="1"/>
      <c r="H50" s="1"/>
      <c r="I50" s="1"/>
      <c r="J50" s="1"/>
      <c r="K50" s="1"/>
      <c r="L50" s="1"/>
      <c r="M50" s="1"/>
      <c r="N50" s="1">
        <v>5</v>
      </c>
      <c r="O50" s="1" t="s">
        <v>782</v>
      </c>
      <c r="P50" s="1">
        <f>IF(AND(stageno&lt;Lists!N50+1,'Devel Overrides'!C17=Lists!$A$38),1,0)</f>
        <v>0</v>
      </c>
      <c r="Q50" s="1">
        <f>IF(P50=1,1+MAX(Q$45:Q49),0)</f>
        <v>0</v>
      </c>
      <c r="R50" s="1">
        <f t="shared" si="0"/>
        <v>0</v>
      </c>
      <c r="S50" s="1" t="str" cm="1">
        <f t="array" ref="S50">IF(R50&gt;0,INDEX($O$46:$O$53,R50,1),"")</f>
        <v/>
      </c>
      <c r="T50" s="1" t="str">
        <f t="shared" si="1"/>
        <v/>
      </c>
      <c r="U50" s="1"/>
      <c r="V50" s="1"/>
      <c r="W50" s="1"/>
      <c r="X50" s="1"/>
      <c r="Y50" s="1"/>
      <c r="Z50" s="1"/>
      <c r="AA50" s="1"/>
      <c r="AB50" s="1"/>
      <c r="AC50" s="1"/>
    </row>
    <row r="51" spans="1:29">
      <c r="A51" s="1" t="s">
        <v>106</v>
      </c>
      <c r="B51" s="1"/>
      <c r="C51" s="1"/>
      <c r="D51" s="1"/>
      <c r="E51" s="1"/>
      <c r="F51" s="1"/>
      <c r="G51" s="1"/>
      <c r="H51" s="1"/>
      <c r="I51" s="1"/>
      <c r="J51" s="1"/>
      <c r="K51" s="1"/>
      <c r="L51" s="1"/>
      <c r="M51" s="1"/>
      <c r="N51" s="1">
        <v>6</v>
      </c>
      <c r="O51" s="1" t="s">
        <v>120</v>
      </c>
      <c r="P51" s="454">
        <f>IF(AND(stageno&lt;Lists!N50+1,'Devel Overrides'!Q17=Lists!$A$38),1,0)</f>
        <v>0</v>
      </c>
      <c r="Q51" s="1">
        <f>IF(P51=1,1+MAX(Q$45:Q50),0)</f>
        <v>0</v>
      </c>
      <c r="R51" s="1">
        <f t="shared" si="0"/>
        <v>0</v>
      </c>
      <c r="S51" s="1" t="str" cm="1">
        <f t="array" ref="S51">IF(R51&gt;0,INDEX($O$46:$O$53,R51,1),"")</f>
        <v/>
      </c>
      <c r="T51" s="1" t="str">
        <f t="shared" si="1"/>
        <v/>
      </c>
      <c r="U51" s="1"/>
      <c r="V51" s="1"/>
      <c r="W51" s="1"/>
      <c r="X51" s="1"/>
      <c r="Y51" s="1"/>
      <c r="Z51" s="1"/>
      <c r="AA51" s="1"/>
      <c r="AB51" s="1"/>
      <c r="AC51" s="1"/>
    </row>
    <row r="52" spans="1:29">
      <c r="A52" s="1" t="s">
        <v>104</v>
      </c>
      <c r="B52" s="1"/>
      <c r="C52" s="1"/>
      <c r="D52" s="1"/>
      <c r="E52" s="1"/>
      <c r="F52" s="1"/>
      <c r="G52" s="1"/>
      <c r="H52" s="1"/>
      <c r="I52" s="1"/>
      <c r="J52" s="1"/>
      <c r="K52" s="1"/>
      <c r="L52" s="1"/>
      <c r="M52" s="1"/>
      <c r="N52" s="1">
        <v>7</v>
      </c>
      <c r="O52" s="1" t="s">
        <v>19</v>
      </c>
      <c r="P52">
        <f>IF(AND(stageno&lt;Lists!N50+1,'Devel Overrides'!Q11=Lists!$A$38),1,0)</f>
        <v>0</v>
      </c>
      <c r="Q52" s="1">
        <f>IF(P52=1,1+MAX(Q$45:Q51),0)</f>
        <v>0</v>
      </c>
      <c r="R52" s="1">
        <f t="shared" si="0"/>
        <v>0</v>
      </c>
      <c r="S52" s="1" t="str" cm="1">
        <f t="array" ref="S52">IF(R52&gt;0,INDEX($O$46:$O$53,R52,1),"")</f>
        <v/>
      </c>
      <c r="T52" s="1" t="str">
        <f t="shared" si="1"/>
        <v/>
      </c>
      <c r="U52" s="1"/>
      <c r="V52" s="1"/>
      <c r="W52" s="1"/>
      <c r="X52" s="1"/>
      <c r="Y52" s="1"/>
      <c r="Z52" s="1"/>
      <c r="AA52" s="1"/>
      <c r="AB52" s="1"/>
      <c r="AC52" s="1"/>
    </row>
    <row r="53" spans="1:29">
      <c r="A53" s="1"/>
      <c r="B53" s="1"/>
      <c r="C53" s="1"/>
      <c r="D53" s="1"/>
      <c r="E53" s="1"/>
      <c r="F53" s="1"/>
      <c r="G53" s="1"/>
      <c r="H53" s="1"/>
      <c r="I53" s="1"/>
      <c r="J53" s="1"/>
      <c r="K53" s="1"/>
      <c r="L53" s="1"/>
      <c r="M53" s="1"/>
      <c r="N53" s="1">
        <v>8</v>
      </c>
      <c r="O53" s="1" t="s">
        <v>1042</v>
      </c>
      <c r="P53" s="1">
        <f>IF('Deposit Recovery'!D5="Yes",1,0)</f>
        <v>0</v>
      </c>
      <c r="Q53" s="1">
        <f>IF(P53=1,1+MAX(Q$45:Q52),0)</f>
        <v>0</v>
      </c>
      <c r="R53" s="1">
        <f t="shared" si="0"/>
        <v>0</v>
      </c>
      <c r="S53" s="1" t="str" cm="1">
        <f t="array" ref="S53">IF(R53&gt;0,INDEX($O$46:$O$53,R53,1),"")</f>
        <v/>
      </c>
      <c r="T53" s="1" t="str">
        <f t="shared" si="1"/>
        <v/>
      </c>
      <c r="U53" s="1"/>
      <c r="V53" s="1"/>
      <c r="W53" s="1"/>
      <c r="X53" s="1"/>
      <c r="Y53" s="1"/>
      <c r="Z53" s="1"/>
      <c r="AA53" s="1"/>
      <c r="AB53" s="1"/>
      <c r="AC53" s="1"/>
    </row>
    <row r="54" spans="1:29">
      <c r="A54" s="42" t="s">
        <v>65</v>
      </c>
      <c r="B54" s="1"/>
      <c r="C54" s="1"/>
      <c r="D54" s="1"/>
      <c r="E54" s="1"/>
      <c r="F54" s="1"/>
      <c r="G54" s="1"/>
      <c r="H54" s="1"/>
      <c r="I54" s="1"/>
      <c r="J54" s="1"/>
      <c r="K54" s="1"/>
      <c r="L54" s="1"/>
      <c r="M54" s="1"/>
      <c r="N54" s="1"/>
      <c r="O54" s="1"/>
      <c r="P54" s="1">
        <f>SUM(P46:P53)</f>
        <v>0</v>
      </c>
      <c r="Q54" s="1"/>
      <c r="R54" s="1"/>
      <c r="S54" s="1"/>
      <c r="T54" s="1"/>
      <c r="U54" s="1"/>
      <c r="V54" s="1"/>
      <c r="W54" s="1"/>
      <c r="X54" s="1"/>
      <c r="Y54" s="1"/>
      <c r="Z54" s="1"/>
      <c r="AA54" s="1"/>
      <c r="AB54" s="1"/>
      <c r="AC54" s="1"/>
    </row>
    <row r="55" spans="1:29">
      <c r="A55" s="1" t="s">
        <v>66</v>
      </c>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row>
    <row r="56" spans="1:29">
      <c r="A56" s="1" t="s">
        <v>580</v>
      </c>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row>
    <row r="57" spans="1:29">
      <c r="A57" s="1" t="s">
        <v>581</v>
      </c>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row>
    <row r="58" spans="1:29">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row>
    <row r="59" spans="1:29">
      <c r="A59" s="42" t="s">
        <v>634</v>
      </c>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row>
    <row r="60" spans="1:29">
      <c r="A60" s="1" t="s">
        <v>329</v>
      </c>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row>
    <row r="61" spans="1:29">
      <c r="A61" s="1" t="s">
        <v>635</v>
      </c>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row>
    <row r="62" spans="1:29">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row>
    <row r="63" spans="1:29">
      <c r="A63" s="42" t="s">
        <v>582</v>
      </c>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row>
    <row r="64" spans="1:29">
      <c r="A64" s="1" t="s">
        <v>99</v>
      </c>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row>
    <row r="65" spans="1:29">
      <c r="A65" s="1" t="s">
        <v>583</v>
      </c>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row>
    <row r="66" spans="1:29">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row>
    <row r="67" spans="1:29">
      <c r="A67" s="1"/>
      <c r="B67" s="1" t="s">
        <v>584</v>
      </c>
      <c r="C67" s="1" t="s">
        <v>585</v>
      </c>
      <c r="D67" s="1"/>
      <c r="E67" s="1"/>
      <c r="F67" s="1"/>
      <c r="G67" s="1"/>
      <c r="H67" s="1"/>
      <c r="I67" s="1"/>
      <c r="J67" s="1"/>
      <c r="K67" s="1"/>
      <c r="L67" s="1"/>
      <c r="M67" s="1"/>
      <c r="N67" s="1"/>
      <c r="O67" s="30"/>
      <c r="P67" s="1"/>
      <c r="Q67" s="1"/>
      <c r="R67" s="1"/>
      <c r="S67" s="1"/>
      <c r="T67" s="1"/>
      <c r="U67" s="1"/>
      <c r="V67" s="1"/>
      <c r="W67" s="1"/>
      <c r="X67" s="1"/>
      <c r="Y67" s="1"/>
      <c r="Z67" s="1"/>
      <c r="AA67" s="1"/>
      <c r="AB67" s="1"/>
      <c r="AC67" s="1"/>
    </row>
    <row r="68" spans="1:29">
      <c r="A68" s="1" t="s">
        <v>570</v>
      </c>
      <c r="B68" s="1" t="s">
        <v>586</v>
      </c>
      <c r="C68" s="1" t="s">
        <v>587</v>
      </c>
      <c r="D68" s="1"/>
      <c r="E68" s="1"/>
      <c r="F68" s="1"/>
      <c r="G68" s="1"/>
      <c r="H68" s="1"/>
      <c r="I68" s="1"/>
      <c r="J68" s="1"/>
      <c r="K68" s="1"/>
      <c r="L68" s="1"/>
      <c r="M68" s="1"/>
      <c r="N68" s="1"/>
      <c r="O68" s="1"/>
      <c r="P68" s="1"/>
      <c r="Q68" s="1"/>
      <c r="R68" s="1"/>
      <c r="S68" s="1"/>
      <c r="T68" s="1"/>
      <c r="U68" s="1"/>
      <c r="V68" s="1"/>
      <c r="W68" s="1"/>
      <c r="X68" s="1"/>
      <c r="Y68" s="1"/>
      <c r="Z68" s="1"/>
      <c r="AA68" s="1"/>
      <c r="AB68" s="1"/>
      <c r="AC68" s="1"/>
    </row>
    <row r="69" spans="1:29">
      <c r="A69" s="1" t="s">
        <v>571</v>
      </c>
      <c r="B69" s="1" t="s">
        <v>588</v>
      </c>
      <c r="C69" s="1" t="s">
        <v>106</v>
      </c>
      <c r="D69" s="1"/>
      <c r="E69" s="1"/>
      <c r="F69" s="1"/>
      <c r="G69" s="1"/>
      <c r="H69" s="1"/>
      <c r="I69" s="1"/>
      <c r="J69" s="1"/>
      <c r="K69" s="1"/>
      <c r="L69" s="1"/>
      <c r="M69" s="1"/>
      <c r="N69" s="1"/>
      <c r="O69" s="1"/>
      <c r="P69" s="1"/>
      <c r="Q69" s="1"/>
      <c r="R69" s="1"/>
      <c r="S69" s="1"/>
      <c r="T69" s="1"/>
      <c r="U69" s="1"/>
      <c r="V69" s="1"/>
      <c r="W69" s="1"/>
      <c r="X69" s="1"/>
      <c r="Y69" s="1"/>
      <c r="Z69" s="1"/>
      <c r="AA69" s="1"/>
      <c r="AB69" s="1"/>
      <c r="AC69" s="1"/>
    </row>
    <row r="70" spans="1:29">
      <c r="A70" s="1" t="s">
        <v>589</v>
      </c>
      <c r="B70" s="1" t="s">
        <v>588</v>
      </c>
      <c r="C70" s="1" t="s">
        <v>106</v>
      </c>
      <c r="D70" s="1"/>
      <c r="E70" s="1"/>
      <c r="F70" s="1"/>
      <c r="G70" s="1"/>
      <c r="H70" s="1"/>
      <c r="I70" s="1"/>
      <c r="J70" s="1"/>
      <c r="K70" s="1"/>
      <c r="L70" s="1"/>
      <c r="M70" s="1"/>
      <c r="N70" s="1"/>
      <c r="O70" s="1"/>
      <c r="P70" s="1"/>
      <c r="Q70" s="1"/>
      <c r="R70" s="1"/>
      <c r="S70" s="1"/>
      <c r="T70" s="1"/>
      <c r="U70" s="1"/>
      <c r="V70" s="1"/>
      <c r="W70" s="1"/>
      <c r="X70" s="1"/>
      <c r="Y70" s="1"/>
      <c r="Z70" s="1"/>
      <c r="AA70" s="1"/>
      <c r="AB70" s="1"/>
      <c r="AC70" s="1"/>
    </row>
    <row r="71" spans="1:29">
      <c r="A71" s="1" t="s">
        <v>590</v>
      </c>
      <c r="B71" s="1" t="s">
        <v>586</v>
      </c>
      <c r="C71" s="1" t="s">
        <v>106</v>
      </c>
      <c r="D71" s="1"/>
      <c r="E71" s="1"/>
      <c r="F71" s="1"/>
      <c r="G71" s="1"/>
      <c r="H71" s="1"/>
      <c r="I71" s="1"/>
      <c r="J71" s="1"/>
      <c r="K71" s="1"/>
      <c r="L71" s="1"/>
      <c r="M71" s="1"/>
      <c r="N71" s="1"/>
      <c r="O71" s="1"/>
      <c r="P71" s="1"/>
      <c r="Q71" s="1"/>
      <c r="R71" s="1"/>
      <c r="S71" s="1"/>
      <c r="T71" s="1"/>
      <c r="U71" s="1"/>
      <c r="V71" s="1"/>
      <c r="W71" s="1"/>
      <c r="X71" s="1"/>
      <c r="Y71" s="1"/>
      <c r="Z71" s="1"/>
      <c r="AA71" s="1"/>
      <c r="AB71" s="1"/>
      <c r="AC71" s="1"/>
    </row>
    <row r="72" spans="1:29">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row>
    <row r="73" spans="1:29">
      <c r="A73" s="42" t="s">
        <v>347</v>
      </c>
      <c r="B73" s="1"/>
      <c r="C73" s="1"/>
      <c r="D73" s="1" t="s">
        <v>591</v>
      </c>
      <c r="E73" s="1"/>
      <c r="F73" s="1"/>
      <c r="G73" s="1"/>
      <c r="H73" s="1"/>
      <c r="I73" s="1"/>
      <c r="J73" s="1"/>
      <c r="K73" s="1"/>
      <c r="L73" s="1"/>
      <c r="M73" s="1"/>
      <c r="N73" s="1"/>
      <c r="O73" s="1"/>
      <c r="P73" s="1"/>
      <c r="Q73" s="1"/>
      <c r="R73" s="1"/>
      <c r="S73" s="1"/>
      <c r="T73" s="1"/>
      <c r="U73" s="1"/>
      <c r="V73" s="1"/>
      <c r="W73" s="1"/>
      <c r="X73" s="1"/>
      <c r="Y73" s="1"/>
      <c r="Z73" s="1"/>
      <c r="AA73" s="1"/>
      <c r="AB73" s="1"/>
      <c r="AC73" s="1"/>
    </row>
    <row r="74" spans="1:29">
      <c r="A74" s="44" t="s">
        <v>539</v>
      </c>
      <c r="B74" s="1"/>
      <c r="C74" s="1"/>
      <c r="D74" s="1"/>
      <c r="E74" s="1" t="s">
        <v>592</v>
      </c>
      <c r="F74" s="1"/>
      <c r="G74" s="1"/>
      <c r="H74" s="1"/>
      <c r="I74" s="1"/>
      <c r="J74" s="1"/>
      <c r="K74" s="1"/>
      <c r="L74" s="1"/>
      <c r="M74" s="1"/>
      <c r="N74" s="1"/>
      <c r="O74" s="1"/>
      <c r="P74" s="1"/>
      <c r="Q74" s="1"/>
      <c r="R74" s="1"/>
      <c r="S74" s="1"/>
      <c r="T74" s="1"/>
      <c r="U74" s="1"/>
      <c r="V74" s="1"/>
      <c r="W74" s="1"/>
      <c r="X74" s="1"/>
      <c r="Y74" s="1"/>
      <c r="Z74" s="1"/>
      <c r="AA74" s="1"/>
      <c r="AB74" s="1"/>
      <c r="AC74" s="1"/>
    </row>
    <row r="75" spans="1:29">
      <c r="A75" s="44" t="s">
        <v>540</v>
      </c>
      <c r="B75" s="1"/>
      <c r="C75" s="1"/>
      <c r="D75" s="1"/>
      <c r="E75" s="1" t="s">
        <v>593</v>
      </c>
      <c r="F75" s="1"/>
      <c r="G75" s="1"/>
      <c r="H75" s="1"/>
      <c r="I75" s="1"/>
      <c r="J75" s="1"/>
      <c r="K75" s="1"/>
      <c r="L75" s="1"/>
      <c r="M75" s="1"/>
      <c r="N75" s="1"/>
      <c r="O75" s="1"/>
      <c r="P75" s="1"/>
      <c r="Q75" s="1"/>
      <c r="R75" s="1"/>
      <c r="S75" s="1"/>
      <c r="T75" s="1"/>
      <c r="U75" s="1"/>
      <c r="V75" s="1"/>
      <c r="W75" s="1"/>
      <c r="X75" s="1"/>
      <c r="Y75" s="1"/>
      <c r="Z75" s="1"/>
      <c r="AA75" s="1"/>
      <c r="AB75" s="1"/>
      <c r="AC75" s="1"/>
    </row>
    <row r="76" spans="1:29">
      <c r="A76" s="45" t="s">
        <v>541</v>
      </c>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row>
    <row r="77" spans="1:29">
      <c r="A77" s="45" t="s">
        <v>542</v>
      </c>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row>
    <row r="78" spans="1:29">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row>
    <row r="79" spans="1:29">
      <c r="A79" s="42" t="s">
        <v>594</v>
      </c>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row>
    <row r="80" spans="1:29">
      <c r="A80" s="1" t="s">
        <v>595</v>
      </c>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row>
    <row r="81" spans="1:29">
      <c r="A81" s="1" t="s">
        <v>596</v>
      </c>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row>
    <row r="82" spans="1:29">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row>
    <row r="83" spans="1:29">
      <c r="A83" s="29" t="s">
        <v>597</v>
      </c>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row>
    <row r="84" spans="1:29">
      <c r="A84" s="1" t="s">
        <v>597</v>
      </c>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row>
    <row r="85" spans="1:29">
      <c r="A85" s="1" t="s">
        <v>598</v>
      </c>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row>
    <row r="86" spans="1:29">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row>
    <row r="87" spans="1:29">
      <c r="A87" s="30" t="s">
        <v>599</v>
      </c>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row>
    <row r="88" spans="1:29">
      <c r="A88" s="1" t="s">
        <v>95</v>
      </c>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row>
    <row r="89" spans="1:29">
      <c r="A89" s="1" t="s">
        <v>1115</v>
      </c>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row>
    <row r="90" spans="1:29">
      <c r="A90" s="1" t="s">
        <v>1116</v>
      </c>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row>
    <row r="91" spans="1:29">
      <c r="A91" s="30" t="s">
        <v>600</v>
      </c>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row>
    <row r="92" spans="1:29">
      <c r="A92" s="9" t="s">
        <v>601</v>
      </c>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row>
    <row r="93" spans="1:29">
      <c r="A93" s="9" t="s">
        <v>602</v>
      </c>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row>
    <row r="94" spans="1:29">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row>
    <row r="95" spans="1:29">
      <c r="A95" s="30" t="s">
        <v>603</v>
      </c>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row>
    <row r="96" spans="1:29" ht="15.75">
      <c r="A96" s="8" t="s">
        <v>604</v>
      </c>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row>
    <row r="97" spans="1:29" ht="15.75">
      <c r="A97" s="8" t="s">
        <v>605</v>
      </c>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row>
    <row r="98" spans="1:29" ht="15.75">
      <c r="A98" s="8" t="s">
        <v>606</v>
      </c>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row>
    <row r="99" spans="1:29" ht="15.75">
      <c r="A99" s="8" t="s">
        <v>607</v>
      </c>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row>
    <row r="100" spans="1:29" ht="15.75">
      <c r="A100" s="8" t="s">
        <v>608</v>
      </c>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row>
    <row r="101" spans="1:29" ht="15.75">
      <c r="A101" s="8" t="s">
        <v>609</v>
      </c>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row>
    <row r="102" spans="1:29" ht="15.75">
      <c r="A102" s="8" t="s">
        <v>610</v>
      </c>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row>
    <row r="103" spans="1:29" ht="15.75">
      <c r="A103" s="8" t="s">
        <v>611</v>
      </c>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row>
    <row r="104" spans="1:29">
      <c r="A104" s="1" t="s">
        <v>612</v>
      </c>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row>
    <row r="105" spans="1:29">
      <c r="A105" s="1" t="s">
        <v>613</v>
      </c>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row>
    <row r="106" spans="1:29">
      <c r="A106" s="1" t="s">
        <v>614</v>
      </c>
    </row>
    <row r="107" spans="1:29">
      <c r="A107" s="1" t="s">
        <v>615</v>
      </c>
    </row>
  </sheetData>
  <sheetProtection algorithmName="SHA-512" hashValue="p2D2WcV2/Hls7fw6TjzGqDu8/bS5+93v9cjOq6RURrPVRs40B72k5e6yqZGgbFr5vE9849jFv1GQKdgqViTl3A==" saltValue="0vSD58gK1Tuzk+ETet9hCg==" spinCount="100000" sheet="1" objects="1" scenarios="1"/>
  <pageMargins left="0.7" right="0.7" top="0.75" bottom="0.75" header="0.3" footer="0.3"/>
  <pageSetup paperSize="9" orientation="portrait" horizontalDpi="300" verticalDpi="0" copies="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88</vt:i4>
      </vt:variant>
    </vt:vector>
  </HeadingPairs>
  <TitlesOfParts>
    <vt:vector size="126" baseType="lpstr">
      <vt:lpstr>Introduction</vt:lpstr>
      <vt:lpstr>Offshore Map</vt:lpstr>
      <vt:lpstr>Guide</vt:lpstr>
      <vt:lpstr>Devel Options</vt:lpstr>
      <vt:lpstr>Drill History</vt:lpstr>
      <vt:lpstr>FAQ</vt:lpstr>
      <vt:lpstr>Input</vt:lpstr>
      <vt:lpstr>CashFlow</vt:lpstr>
      <vt:lpstr>Lists</vt:lpstr>
      <vt:lpstr>Thresholds</vt:lpstr>
      <vt:lpstr>Sensitivities</vt:lpstr>
      <vt:lpstr>Sensitivity Ranges</vt:lpstr>
      <vt:lpstr>Government Take</vt:lpstr>
      <vt:lpstr>Price Charts</vt:lpstr>
      <vt:lpstr>Expl Overrides</vt:lpstr>
      <vt:lpstr>Deposit Recovery</vt:lpstr>
      <vt:lpstr>Devel Overrides</vt:lpstr>
      <vt:lpstr>Historic Costs</vt:lpstr>
      <vt:lpstr>Economic Assumptions</vt:lpstr>
      <vt:lpstr>Cost Assumptions</vt:lpstr>
      <vt:lpstr>Sched &amp; Prod Assumptions</vt:lpstr>
      <vt:lpstr>Exploration</vt:lpstr>
      <vt:lpstr>Development</vt:lpstr>
      <vt:lpstr>Operations</vt:lpstr>
      <vt:lpstr>Production</vt:lpstr>
      <vt:lpstr>Revenue</vt:lpstr>
      <vt:lpstr>Abandonment</vt:lpstr>
      <vt:lpstr>Royalty</vt:lpstr>
      <vt:lpstr>Federal Tax</vt:lpstr>
      <vt:lpstr>Provincial Tax</vt:lpstr>
      <vt:lpstr>Success Cash Flow</vt:lpstr>
      <vt:lpstr>Risked Cash Flow</vt:lpstr>
      <vt:lpstr>Selected Economics</vt:lpstr>
      <vt:lpstr>User1</vt:lpstr>
      <vt:lpstr>User2</vt:lpstr>
      <vt:lpstr>User3</vt:lpstr>
      <vt:lpstr>User4</vt:lpstr>
      <vt:lpstr>User5</vt:lpstr>
      <vt:lpstr>Abandonment</vt:lpstr>
      <vt:lpstr>Aerial_Extent</vt:lpstr>
      <vt:lpstr>capcostset</vt:lpstr>
      <vt:lpstr>Cashflow</vt:lpstr>
      <vt:lpstr>Costs</vt:lpstr>
      <vt:lpstr>costset1</vt:lpstr>
      <vt:lpstr>current_year</vt:lpstr>
      <vt:lpstr>Deposit_Recovery</vt:lpstr>
      <vt:lpstr>Devel_Overrides</vt:lpstr>
      <vt:lpstr>Development</vt:lpstr>
      <vt:lpstr>Developments</vt:lpstr>
      <vt:lpstr>Direct_Pipeline_Tie_in</vt:lpstr>
      <vt:lpstr>Discountto</vt:lpstr>
      <vt:lpstr>DiscType</vt:lpstr>
      <vt:lpstr>drill_centres</vt:lpstr>
      <vt:lpstr>Economics</vt:lpstr>
      <vt:lpstr>Expl_Overrides</vt:lpstr>
      <vt:lpstr>Exploration</vt:lpstr>
      <vt:lpstr>Explore</vt:lpstr>
      <vt:lpstr>FacilityType</vt:lpstr>
      <vt:lpstr>Federal_Tax</vt:lpstr>
      <vt:lpstr>Fixed_Platform</vt:lpstr>
      <vt:lpstr>FPSU</vt:lpstr>
      <vt:lpstr>Government_Take</vt:lpstr>
      <vt:lpstr>Guide</vt:lpstr>
      <vt:lpstr>Historic_Costs</vt:lpstr>
      <vt:lpstr>Input</vt:lpstr>
      <vt:lpstr>Jack_up</vt:lpstr>
      <vt:lpstr>LossRec</vt:lpstr>
      <vt:lpstr>Manual_override</vt:lpstr>
      <vt:lpstr>monthtable</vt:lpstr>
      <vt:lpstr>noteco</vt:lpstr>
      <vt:lpstr>Operations</vt:lpstr>
      <vt:lpstr>Override</vt:lpstr>
      <vt:lpstr>pressure</vt:lpstr>
      <vt:lpstr>Price_Charts</vt:lpstr>
      <vt:lpstr>Abandonment!Print_Area</vt:lpstr>
      <vt:lpstr>CashFlow!Print_Area</vt:lpstr>
      <vt:lpstr>'Cost Assumptions'!Print_Area</vt:lpstr>
      <vt:lpstr>'Devel Options'!Print_Area</vt:lpstr>
      <vt:lpstr>'Devel Overrides'!Print_Area</vt:lpstr>
      <vt:lpstr>'Drill History'!Print_Area</vt:lpstr>
      <vt:lpstr>'Economic Assumptions'!Print_Area</vt:lpstr>
      <vt:lpstr>'Expl Overrides'!Print_Area</vt:lpstr>
      <vt:lpstr>'Federal Tax'!Print_Area</vt:lpstr>
      <vt:lpstr>'Government Take'!Print_Area</vt:lpstr>
      <vt:lpstr>Guide!Print_Area</vt:lpstr>
      <vt:lpstr>Input!Print_Area</vt:lpstr>
      <vt:lpstr>Introduction!Print_Area</vt:lpstr>
      <vt:lpstr>'Offshore Map'!Print_Area</vt:lpstr>
      <vt:lpstr>Operations!Print_Area</vt:lpstr>
      <vt:lpstr>'Price Charts'!Print_Area</vt:lpstr>
      <vt:lpstr>Production!Print_Area</vt:lpstr>
      <vt:lpstr>'Risked Cash Flow'!Print_Area</vt:lpstr>
      <vt:lpstr>Royalty!Print_Area</vt:lpstr>
      <vt:lpstr>'Sched &amp; Prod Assumptions'!Print_Area</vt:lpstr>
      <vt:lpstr>'Selected Economics'!Print_Area</vt:lpstr>
      <vt:lpstr>Sensitivities!Print_Area</vt:lpstr>
      <vt:lpstr>'Success Cash Flow'!Print_Area</vt:lpstr>
      <vt:lpstr>Thresholds!Print_Area</vt:lpstr>
      <vt:lpstr>prod_year</vt:lpstr>
      <vt:lpstr>Product</vt:lpstr>
      <vt:lpstr>Production</vt:lpstr>
      <vt:lpstr>Provincial_Tax</vt:lpstr>
      <vt:lpstr>PurchaseLease</vt:lpstr>
      <vt:lpstr>Rented_FPSU</vt:lpstr>
      <vt:lpstr>Rescomp</vt:lpstr>
      <vt:lpstr>Revenue</vt:lpstr>
      <vt:lpstr>Risked_Cash</vt:lpstr>
      <vt:lpstr>Royalty</vt:lpstr>
      <vt:lpstr>Satellite</vt:lpstr>
      <vt:lpstr>scenarios</vt:lpstr>
      <vt:lpstr>Schedule</vt:lpstr>
      <vt:lpstr>Selected_Economics</vt:lpstr>
      <vt:lpstr>selected_scenario</vt:lpstr>
      <vt:lpstr>Sensitivities</vt:lpstr>
      <vt:lpstr>Shore</vt:lpstr>
      <vt:lpstr>Shuttle_Tanker</vt:lpstr>
      <vt:lpstr>Sour</vt:lpstr>
      <vt:lpstr>Stagelist</vt:lpstr>
      <vt:lpstr>stageno</vt:lpstr>
      <vt:lpstr>Subsea</vt:lpstr>
      <vt:lpstr>Success_Cash</vt:lpstr>
      <vt:lpstr>Sweet</vt:lpstr>
      <vt:lpstr>SweetSour</vt:lpstr>
      <vt:lpstr>Tethered___Semi</vt:lpstr>
      <vt:lpstr>Thresholds</vt:lpstr>
      <vt:lpstr>YesNo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Mike</dc:creator>
  <cp:lastModifiedBy>MacAdam, Natasha M</cp:lastModifiedBy>
  <cp:lastPrinted>2012-05-24T22:37:09Z</cp:lastPrinted>
  <dcterms:created xsi:type="dcterms:W3CDTF">2008-02-07T10:28:11Z</dcterms:created>
  <dcterms:modified xsi:type="dcterms:W3CDTF">2026-02-23T14:55:15Z</dcterms:modified>
</cp:coreProperties>
</file>